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2" windowWidth="15300" windowHeight="4080" activeTab="5"/>
  </bookViews>
  <sheets>
    <sheet name="Лист1" sheetId="1" r:id="rId1"/>
    <sheet name="Лист2" sheetId="2" r:id="rId2"/>
    <sheet name="Лист3" sheetId="3" state="hidden" r:id="rId3"/>
    <sheet name="Лист5" sheetId="4" state="hidden" r:id="rId4"/>
    <sheet name="Лист6" sheetId="5" r:id="rId5"/>
    <sheet name="Лист7" sheetId="6" r:id="rId6"/>
    <sheet name="Лист8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<sst xmlns="http://schemas.openxmlformats.org/spreadsheetml/2006/main" count="635" uniqueCount="279">
  <si>
    <t>Среднемесячный размер оплаты труда на одного работника, руб.</t>
  </si>
  <si>
    <t>всего</t>
  </si>
  <si>
    <t>в том числе: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</si>
  <si>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</si>
  <si>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</si>
  <si>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</si>
  <si>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</si>
  <si>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</si>
  <si>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</si>
  <si>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</si>
  <si>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</si>
  <si>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</si>
  <si>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</si>
  <si>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</si>
  <si>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</si>
  <si>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</si>
  <si>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</si>
  <si>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</si>
  <si>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</si>
  <si>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</si>
  <si>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</si>
  <si>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</si>
  <si>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</si>
  <si>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</si>
  <si>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</si>
  <si>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</si>
  <si>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</si>
  <si>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</si>
  <si>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</si>
  <si>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</si>
  <si>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</si>
  <si>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</si>
  <si>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</si>
  <si>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</si>
  <si>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</si>
  <si>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</si>
  <si>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</si>
  <si>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</si>
  <si>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</si>
  <si>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</si>
  <si>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</si>
  <si>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</si>
  <si>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</si>
  <si>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</si>
  <si>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</si>
  <si>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</si>
  <si>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</si>
  <si>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</si>
  <si>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</si>
  <si>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</si>
  <si>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</si>
  <si>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</si>
  <si>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</si>
  <si>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</si>
  <si>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</si>
  <si>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</si>
  <si>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</si>
  <si>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</si>
  <si>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</si>
  <si>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</si>
  <si>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</si>
  <si>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в Фонд социального страхования Российской Федерации, в Федеральный фонд обязательного медицинского страхования (КВР 119)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</si>
  <si>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</si>
  <si>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</si>
  <si>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</si>
  <si>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</si>
  <si>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</si>
  <si>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</si>
  <si>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</si>
  <si>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</si>
  <si>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</si>
  <si>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</si>
  <si>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</si>
  <si>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</si>
  <si>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</si>
  <si>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344 :</t>
  </si>
  <si>
    <t>Итого по КОСГУ 345 :</t>
  </si>
  <si>
    <t>Итого по КОСГУ 346 :</t>
  </si>
  <si>
    <t>Итого по КОСГУ 349 :</t>
  </si>
  <si>
    <t>Итого по КОСГУ 347 :</t>
  </si>
  <si>
    <t>Итого по КОСГУ 212:</t>
  </si>
  <si>
    <t>Итого по КОСГУ 266: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</si>
  <si>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</si>
  <si>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</si>
  <si>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</si>
  <si>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</si>
  <si>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</si>
  <si>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</si>
  <si>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</si>
  <si>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</si>
  <si>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</si>
  <si>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</si>
  <si>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</si>
  <si>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</si>
  <si>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Индексация, %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</si>
  <si>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</si>
  <si>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</si>
  <si>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</si>
  <si>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</si>
  <si>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</si>
  <si>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</si>
  <si>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</si>
  <si>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</si>
  <si>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</si>
  <si>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</si>
  <si>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291: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</si>
  <si>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</si>
  <si>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</si>
  <si>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</si>
  <si>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</si>
  <si>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</si>
  <si>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</si>
  <si>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</si>
  <si>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</si>
  <si>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</si>
  <si>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>Итого по КОСГУ 228: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</si>
  <si>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</si>
  <si>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</si>
  <si>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</si>
  <si>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</si>
  <si>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</si>
  <si>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</si>
  <si>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</si>
  <si>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</si>
  <si>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</si>
  <si>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</si>
  <si>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</si>
  <si>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</si>
  <si>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</si>
  <si>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</si>
  <si>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</si>
  <si>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</si>
  <si>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</si>
  <si>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</si>
  <si>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6.9. Расчеты (обоснования) расходов на приобретение материальных запасов 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</si>
  <si>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</si>
  <si>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</si>
  <si>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</si>
  <si>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</si>
  <si>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</si>
  <si>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</si>
  <si>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</si>
  <si>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</si>
  <si>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</si>
  <si>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</si>
  <si>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</si>
  <si>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8=4*3*12</t>
  </si>
  <si>
    <t>Расчеты (обоснования) к плану финансово-хозяйственной деятельности муниципального учреждения по выплатам на 2020 год</t>
  </si>
  <si>
    <t>Директор</t>
  </si>
  <si>
    <t>Заместитель директора</t>
  </si>
  <si>
    <t>Главный бухгалтер</t>
  </si>
  <si>
    <t>Главный инженер</t>
  </si>
  <si>
    <t>Главный специалист</t>
  </si>
  <si>
    <t>Ведущий специалист по кадрам</t>
  </si>
  <si>
    <t>Юрисконсульт</t>
  </si>
  <si>
    <t>Инженер-энергетик</t>
  </si>
  <si>
    <t>Инженер по организации управления производством</t>
  </si>
  <si>
    <t>Вахтер</t>
  </si>
  <si>
    <t>Дворник</t>
  </si>
  <si>
    <t>Уборщик</t>
  </si>
  <si>
    <t>Гардеробщик</t>
  </si>
  <si>
    <t>Заведующий хозяйством</t>
  </si>
  <si>
    <t>Ведущий экономист</t>
  </si>
  <si>
    <t>Ведущий бухгалтер</t>
  </si>
  <si>
    <t>Бухгалтер</t>
  </si>
  <si>
    <t>Руководитель клубного формирования</t>
  </si>
  <si>
    <t>Звукорежиссер</t>
  </si>
  <si>
    <t>Услуги связи (предоставление абонентской линии, местные соединения)</t>
  </si>
  <si>
    <t xml:space="preserve">Услуги междугородней связи </t>
  </si>
  <si>
    <t>Услуги  Интернет (пр.Победы,3)</t>
  </si>
  <si>
    <t>Обучение по программе пожарно-технического минимума</t>
  </si>
  <si>
    <t>Повышение квалификации руководителей и специалистов по программе "Охрана труда работников организаций"</t>
  </si>
  <si>
    <t xml:space="preserve">Проведение обследования и паспортизации объектов социальной инфраструктуры и услуг в приоритетных сферах жизнедеятельности инвалидов, в соответствии с "Методикой, позволяющей объективизировать и систематизировать доступность объектов и услуг в приоритетных сферах жизнедеятельности для инвалидов и других маломобильных групп населения, с возможностью учета ре.специфики", утвержденной приказом Мин.труда и соц.защиты РФ от 25.12.2012г.№627. </t>
  </si>
  <si>
    <t>Огнезащитная обработка пола сцены по адресу: ул. Мира, д. 15</t>
  </si>
  <si>
    <t>Гидропневматическая промывка и опрессовка системы центрального отопления</t>
  </si>
  <si>
    <t>Испытание внутреннего противопожарного водопровода , пожарных кранов по адресу: ул. Мира, д. 15</t>
  </si>
  <si>
    <t>Испытание внутреннего противопожарного водопровода, пожарных кранов по адресу: пр-кт Победы, д.3</t>
  </si>
  <si>
    <t>Испытание средств защиты: боты диэлектические, перчатки диэлектрические, указатель напряжения</t>
  </si>
  <si>
    <t>Содержание и ремонт общего имущества многоквартирного дома (пр.Победы,3)</t>
  </si>
  <si>
    <t>Содержание и ремонт общего имущества многоквартирного дома (пр. Победы, 7 )</t>
  </si>
  <si>
    <t xml:space="preserve">Содержание и ремонт сценической площадки </t>
  </si>
  <si>
    <t xml:space="preserve">Инструментальные и санитарно-гигиенические исследования </t>
  </si>
  <si>
    <t>Стирка и глажка штор (арлекин) 11 кв.м</t>
  </si>
  <si>
    <t>Услуги пультовой охраны по адресу: ул. Мира, д. 15</t>
  </si>
  <si>
    <t>Услуги пультовой охраны по адресу: проспект Победы, д. 3</t>
  </si>
  <si>
    <t>Электроэнергия по адресам:ул.Мира , д.15;пр.Победы, д.3;пр.Победы, д.7;</t>
  </si>
  <si>
    <t>Ком.услуги, предоставленные на общедомовые нужды (пр.Победы,3 и пр.Победы,7</t>
  </si>
  <si>
    <t>Аптечка первой помощи</t>
  </si>
  <si>
    <t>Валенки взрослые (для работы на мероприятиях на улице в зимнее время)</t>
  </si>
  <si>
    <t xml:space="preserve">Комплектующие и запасные части для основных средств </t>
  </si>
  <si>
    <t>Специалист по охране труда</t>
  </si>
  <si>
    <t>Осветитель</t>
  </si>
  <si>
    <t>Всего по КОСГУ 211 :</t>
  </si>
  <si>
    <t>Налоги, пошлины и сборы</t>
  </si>
  <si>
    <t>Компонент на теплоноситель I полугодие;пр.Победы, д.3;пр.Победы, д.7;</t>
  </si>
  <si>
    <t>Компонент на теплоноситель II полугодие;пр.Победы, д.3;пр.Победы, д.7;</t>
  </si>
  <si>
    <t>Компонент на тепловую энергию I полугодие ;пр.Победы, д.3;пр.Победы, д.7;</t>
  </si>
  <si>
    <t>Компонент на тепловую энергию II полугодие ;пр.Победы, д.3;пр.Победы, д.7;</t>
  </si>
  <si>
    <t>Резерв по коммунальным платежам</t>
  </si>
  <si>
    <t xml:space="preserve">Ежемесячные компенсационные выплаты в размере работникам, находящимся в отпуске по уходу за ребенком до достижения им возраста 3-х лет </t>
  </si>
  <si>
    <t>(Ткань и фурнитура для пошива костюмов )</t>
  </si>
  <si>
    <t>Митинг, посвященный 76-ой годовщине снятия блокады Ленинграда (Доставка генератора, аппаратуры до места проведения мероприятия и обратно)</t>
  </si>
  <si>
    <t>Митинг, посвященный Дню памяти воинов интернационалистов (Доставка генератора, аппаратуры до места проведения мероприятия и обратно)</t>
  </si>
  <si>
    <t>Акция "Солнечные люди" , посвященная Международному дню человека с синдромом Дауна (Доставка приглашенных артистов)</t>
  </si>
  <si>
    <t>Митинг, посвященный  международному Дню освобождения узников фашистских концлагерей  (Доставка генератора, аппаратуры до места проведения мероприятия и обратно)</t>
  </si>
  <si>
    <t>Митинг, посвященный  годовщине аварии на Чернобыльской АЭС (Доставка генератора, аппаратуры до места проведения мероприятия и обратно)</t>
  </si>
  <si>
    <t>Митинг, посвященный Дню памяти и скорби  (Доставка , знаменной группы, генератора, аппаратуры до места проведения мероприятия и обратно)</t>
  </si>
  <si>
    <t>Митинг, посвященный 78-летней годовщине со дня начала блокады Ленинграда (1941 год)  (Доставка генератора, аппаратуры до места проведения мероприятия и обратно)</t>
  </si>
  <si>
    <t>Митинг, посвященный освобождению Киришской земли от немецко-фашистских захватчиков (Доставка генератора, аппаратуры до места проведения мероприятия и обратно)</t>
  </si>
  <si>
    <t>Митинг, посвященный Дню памяти саженным немецко-фашистскими оккупантами деревням Ленинградской области  (Доставка генератора, аппаратуры до места проведения мероприятия и обратно)</t>
  </si>
  <si>
    <t>Митинг, посвященный  Дню неизвестного солдата в России (Доставка генератора, аппаратуры до места проведения мероприятия и обратно)</t>
  </si>
  <si>
    <t>Проведение  программы в рамках соревнований "Лыжня России" (Доставка аппаратуры до места проведения и обратно)</t>
  </si>
  <si>
    <t>Проведение праздничного мероприятия "Масленица"(Доставка аппаратуры,генератора и прочее до места проведения и обратно)</t>
  </si>
  <si>
    <t xml:space="preserve">"День Победы" (Доставка  стульев, аппаратуры, генераторов,ограждения сценической площадки и т.п., доставка  ветеранов)  </t>
  </si>
  <si>
    <t xml:space="preserve">"Кросс нации" (Доставка аппаратуры к месту проведения мероприятия и обратно) </t>
  </si>
  <si>
    <t>Фестиваль "Открытое сердце", посвященный Дню инвалида (Доставка артистов до места проведения мероприятия и обратно)</t>
  </si>
  <si>
    <t>Теплоэнергия I полугодие по адресам:пр.Победы, д.3;пр.Победы, д.7;</t>
  </si>
  <si>
    <t>Митинг, посвященный 76-ой годовщине снятия блокады Ленинграда (Приобретение цветочной продукции: гвоздика)</t>
  </si>
  <si>
    <t>Митинг, посвященный Дню памяти воинов интернационалистов (Приобретение цветочной продукции: гвоздика)</t>
  </si>
  <si>
    <t xml:space="preserve">Акция "Солнечные люди" , посвященная Международному дню человека с синдромом Дауна (Выступление приглашенных артистов) </t>
  </si>
  <si>
    <t>Концерт, посвященный присоединению Крыма и Севастополя к России (создание слайд-шоу))</t>
  </si>
  <si>
    <t>Концерт, посвященный присоединению Крыма и Севастополя к России (оплата работы ведущего)</t>
  </si>
  <si>
    <t>Митинг, посвященный  международному Дню освобождения узников фашистских концлагерей (Приобретение цветочной продукции: гвоздика)</t>
  </si>
  <si>
    <t>Митинг, посвященный  годовщине аварии на Чернобыльской АЭС (Приобретение цветочной продукции: гвоздика)</t>
  </si>
  <si>
    <t>Митинг, посвященный Дню памяти и скорби  (Приобретение цветочной продукции: гвоздика)</t>
  </si>
  <si>
    <t>Митинг, посвященный Дню памяти и скорби  (услуги фельдшера без автотранспорта)</t>
  </si>
  <si>
    <t xml:space="preserve">День социального работника ( Услуиг по организации и проведенюя выездного праздничного мероприятия) </t>
  </si>
  <si>
    <t>Митинг, посвященный 76-летней годовщине со дня начала блокады Ленинграда(1941 год) (Приобретение цветочной продукции: гвоздика)</t>
  </si>
  <si>
    <t>Митинг, посвященный Дню памяти саженным немецко-фашистскими оккупантами деревням Ленинградской области (Приобретение цветочной продукции: гвоздика)</t>
  </si>
  <si>
    <t>Митинг, посвященный Дню памяти соженным немецко-фашистскими оккупантами деревням Ленинградской области (Приобретение цветочной продукции: гвоздика)</t>
  </si>
  <si>
    <t>Митинг, посвященный  Дню неизвестного солдата в России  (Приобретение цветочной продукции: гвоздика)</t>
  </si>
  <si>
    <t>Новогодний праздник для жителей города Кириши ( озвучивание Новогодней ночи ) работа звукооператора</t>
  </si>
  <si>
    <t xml:space="preserve">Проведение  программы в рамках соревнований "Лыжня России" (Оплата работы звукооператора) </t>
  </si>
  <si>
    <t>Проведение праздничного мероприятия "Масленица" (услуги по написанию сценария)</t>
  </si>
  <si>
    <t>Проведение праздничного мероприятия "Масленица" (услуги ведущих)</t>
  </si>
  <si>
    <t>Проведение праздничного мероприятия "Масленица" (Выступление профессиональных артистов)</t>
  </si>
  <si>
    <t xml:space="preserve">Проведение праздничного мероприятия "Масленица"(Предоставление Био – туалетов) </t>
  </si>
  <si>
    <t>Проведение праздничного мероприятия "Масленица" (Услуги аниматоров )</t>
  </si>
  <si>
    <t>"День Победы" (Предоставление Био – туалетов)</t>
  </si>
  <si>
    <t>"День Победы" (Оплата работы звукооператора)</t>
  </si>
  <si>
    <t>"День Победы" (Оплата работы фотографа, ведущих, создание слайд-шоу, участие в концерте, сценарий)</t>
  </si>
  <si>
    <t>"День Победы" (Духовой оркестр)</t>
  </si>
  <si>
    <t>"День Победы" (Медицинское обслуживание мероприятия (работа бригады скорой медицинской помощи)</t>
  </si>
  <si>
    <t>"День Победы" Услуги по организации и проведению праздничного салюта, посвященного "Дню Победы"</t>
  </si>
  <si>
    <t>"День Победы" приглашенные артисты</t>
  </si>
  <si>
    <t>День образования Ленинградской области, День строителя (Выступление творческих коллективов - приглашенные артисты)</t>
  </si>
  <si>
    <t>"Кросс нации" (Оплата работы артистов аниматоров)</t>
  </si>
  <si>
    <t>Митинг, посвященный 76-ой годовщине снятия блокады Ленинграда (Приобретение продуктов  для приготовления каши )</t>
  </si>
  <si>
    <t>Проведение торжественно-траурных мероприятий, посвященных Дню памяти жертв  политических репрессий (продукты питания)</t>
  </si>
  <si>
    <t>День Победы" (Приобретение продуктов для приготовления каши)</t>
  </si>
  <si>
    <t>Митинг, посвященный 76-ой годовщине снятия блокады Ленинграда (Хозяйственные товары )</t>
  </si>
  <si>
    <t>Концерт, посвященный присоединению Крыма и Севастополя к России (бумага,картриджи и т.д.)</t>
  </si>
  <si>
    <t>Митинг, посвященный 76-ой годовщине снятия блокады Ленинграда (Приобретение  ленточек блокадных)</t>
  </si>
  <si>
    <t>Акция "Солнечные люди" , посвященная Международному дню человека с синдромом Дауна (Рекламно-информационное обеспечение: приобретение афиш)</t>
  </si>
  <si>
    <t>Концерт, посвященный присоединению Крыма и Севастополя к России (Рекламно-информационное обеспечение: приобретение афиш)</t>
  </si>
  <si>
    <t>Митинг, посвященный Дню памяти и скорби  (Приобретение свечей, лампад)</t>
  </si>
  <si>
    <t>Спортивный вечер (Приобретение шаров для оформления мероприятия)</t>
  </si>
  <si>
    <t>Проведение праздничного мероприятия "Масленица"(Материал для подготовке чучело "Масленицы": ткань, бечевка, пуговицы и т.д.)</t>
  </si>
  <si>
    <t>Фестиваль "Открытое сердце" , посвященный Дню инвалида  (Административно-хозяйственные расходы: канцелярские и хозяйственные товары для проведения меропрития)</t>
  </si>
  <si>
    <t xml:space="preserve">   День Победы" (Административно-хозяйственные расходы: бумага, картриджи и т.п..)</t>
  </si>
  <si>
    <t>День Победы" (Приобретение хозяйственных товаров: тарелки, ложки, стаканы, салфетки и т.п.)</t>
  </si>
  <si>
    <t>"Кросс нации" (Шары для оформления мероприятия)</t>
  </si>
  <si>
    <t>Проведение праздничного мероприятия "Масленица"(Рекламно-информационное обеспечение: приобретение афиш)</t>
  </si>
  <si>
    <t>День Победы"  (Рекламно-информационное обеспечение: приобретение афиш)</t>
  </si>
  <si>
    <t>Фестиваль "Открытое сердце" , посвященный Дню инвалида  (Приоретение шаров для оформления мероприятия)</t>
  </si>
  <si>
    <t>Фестиваль "Открытое сердце" , посвященный Дню инвалида (Рекламно-информационное обеспечение: приобретение афиш)</t>
  </si>
  <si>
    <t>День Победы" (Приобретение призов для интерактивной программы)</t>
  </si>
  <si>
    <t>День Победы" (Подарочные пакеты)</t>
  </si>
  <si>
    <t>Проведение праздничного мероприятия "Масленица"(призы на конкурсы)</t>
  </si>
  <si>
    <t>Смотр-конкурс "Ветеранское подворье" (Приобретение наградной продукции: расписные разделочные доски, матрешки и т.п.)</t>
  </si>
  <si>
    <t>День образования Ленинградской области, День строителя (Подарочная продукция )</t>
  </si>
  <si>
    <t xml:space="preserve">Фестиваль "Открытое сердце", посвященный Дню инвалида (Приобретение призов, подарочной и сувенирной продукции, в т.ч. торты, конфеты и т.п.) </t>
  </si>
  <si>
    <t>Итого:</t>
  </si>
  <si>
    <t>0801 КУЛЬТУРА</t>
  </si>
  <si>
    <t>КОСГУ</t>
  </si>
  <si>
    <t>КВР</t>
  </si>
  <si>
    <t>КВФО 4</t>
  </si>
  <si>
    <t>КВФО 5</t>
  </si>
  <si>
    <t>КВФО 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</si>
</sst>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" fontId="1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 applyProtection="1">
      <alignment horizontal="center"/>
      <protection locked="0"/>
    </xf>
    <xf numFmtId="4" fontId="9" fillId="0" borderId="13" xfId="0" applyNumberFormat="1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" fontId="12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13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18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2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4" fontId="12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9" fillId="0" borderId="2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2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2" fontId="9" fillId="0" borderId="13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0707%20&#1050;&#1042;&#1060;&#1054;%202,4,5%20&#1089;&#1086;&#1076;.%20&#1055;&#1088;&#1080;&#1083;&#1086;&#1078;&#1077;&#1085;&#1080;&#1077;%203%20&#1082;%20&#1055;&#1086;&#1088;&#1103;&#1076;&#1082;&#1091;.doc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8"/>
    </sheetNames>
    <sheetDataSet>
      <sheetData sheetId="0">
        <row r="52">
          <cell r="J52">
            <v>10484151.140592001</v>
          </cell>
        </row>
      </sheetData>
      <sheetData sheetId="5">
        <row r="22">
          <cell r="A2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AJ187"/>
  <sheetViews>
    <sheetView zoomScalePageLayoutView="0" workbookViewId="0" topLeftCell="A40">
      <selection activeCell="J128" sqref="J128"/>
    </sheetView>
  </sheetViews>
  <sheetFormatPr defaultColWidth="1.12109375" defaultRowHeight="12.75"/>
  <cols>
    <col min="1" max="1" width="4.00390625" style="41" customWidth="1"/>
    <col min="2" max="2" width="27.125" style="41" customWidth="1"/>
    <col min="3" max="3" width="12.875" style="41" customWidth="1"/>
    <col min="4" max="4" width="11.125" style="41" customWidth="1"/>
    <col min="5" max="5" width="12.875" style="41" customWidth="1"/>
    <col min="6" max="6" width="16.375" style="41" customWidth="1"/>
    <col min="7" max="7" width="15.00390625" style="41" customWidth="1"/>
    <col min="8" max="8" width="14.00390625" style="41" customWidth="1"/>
    <col min="9" max="9" width="13.375" style="41" customWidth="1"/>
    <col min="10" max="15" width="17.25390625" style="41" customWidth="1"/>
    <col min="16" max="16" width="12.875" style="41" hidden="1" customWidth="1"/>
    <col min="17" max="17" width="11.125" style="41" hidden="1" customWidth="1"/>
    <col min="18" max="18" width="12.875" style="41" hidden="1" customWidth="1"/>
    <col min="19" max="19" width="16.375" style="41" hidden="1" customWidth="1"/>
    <col min="20" max="20" width="15.00390625" style="41" hidden="1" customWidth="1"/>
    <col min="21" max="21" width="14.00390625" style="41" hidden="1" customWidth="1"/>
    <col min="22" max="22" width="13.375" style="41" hidden="1" customWidth="1"/>
    <col min="23" max="23" width="13.625" style="41" hidden="1" customWidth="1"/>
    <col min="24" max="28" width="1.12109375" style="41" hidden="1" customWidth="1"/>
    <col min="29" max="29" width="12.875" style="41" hidden="1" customWidth="1"/>
    <col min="30" max="30" width="11.125" style="41" hidden="1" customWidth="1"/>
    <col min="31" max="31" width="12.875" style="41" hidden="1" customWidth="1"/>
    <col min="32" max="32" width="16.375" style="41" hidden="1" customWidth="1"/>
    <col min="33" max="33" width="15.00390625" style="41" hidden="1" customWidth="1"/>
    <col min="34" max="34" width="14.00390625" style="41" hidden="1" customWidth="1"/>
    <col min="35" max="35" width="13.375" style="41" hidden="1" customWidth="1"/>
    <col min="36" max="36" width="13.625" style="41" hidden="1" customWidth="1"/>
    <col min="37" max="81" width="1.12109375" style="41" hidden="1" customWidth="1"/>
    <col min="82" max="95" width="0" style="41" hidden="1" customWidth="1"/>
    <col min="96" max="16384" width="1.12109375" style="41" customWidth="1"/>
  </cols>
  <sheetData>
    <row r="1" s="29" customFormat="1" ht="15">
      <c r="N1" s="30" t="s">
        <v>34</v>
      </c>
    </row>
    <row r="2" s="29" customFormat="1" ht="15">
      <c r="N2" s="30" t="s">
        <v>116</v>
      </c>
    </row>
    <row r="3" s="29" customFormat="1" ht="9.75">
      <c r="N3" s="31"/>
    </row>
    <row r="4" s="32" customFormat="1" ht="9.75">
      <c r="N4" s="31"/>
    </row>
    <row r="5" s="33" customFormat="1" ht="10.5" customHeight="1">
      <c r="N5" s="31"/>
    </row>
    <row r="6" s="33" customFormat="1" ht="10.5" customHeight="1">
      <c r="N6" s="31"/>
    </row>
    <row r="7" s="33" customFormat="1" ht="12" customHeight="1">
      <c r="N7" s="31"/>
    </row>
    <row r="8" s="33" customFormat="1" ht="12.75" customHeight="1">
      <c r="N8" s="31"/>
    </row>
    <row r="10" spans="1:14" s="34" customFormat="1" ht="15">
      <c r="A10" s="80" t="s">
        <v>147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34" s="36" customFormat="1" ht="7.5">
      <c r="A11" s="35"/>
      <c r="B11" s="35"/>
      <c r="C11" s="35"/>
      <c r="D11" s="35"/>
      <c r="E11" s="35"/>
      <c r="F11" s="35"/>
      <c r="G11" s="35"/>
      <c r="H11" s="35"/>
      <c r="P11" s="35"/>
      <c r="Q11" s="35"/>
      <c r="R11" s="35"/>
      <c r="S11" s="35"/>
      <c r="T11" s="35"/>
      <c r="U11" s="35"/>
      <c r="AC11" s="35"/>
      <c r="AD11" s="35"/>
      <c r="AE11" s="35"/>
      <c r="AF11" s="35"/>
      <c r="AG11" s="35"/>
      <c r="AH11" s="35"/>
    </row>
    <row r="12" spans="1:31" s="36" customFormat="1" ht="17.25" customHeight="1">
      <c r="A12" s="34" t="s">
        <v>86</v>
      </c>
      <c r="B12" s="35"/>
      <c r="C12" s="35"/>
      <c r="D12" s="35"/>
      <c r="E12" s="35"/>
      <c r="F12" s="81" t="s">
        <v>273</v>
      </c>
      <c r="G12" s="82"/>
      <c r="H12" s="82"/>
      <c r="I12" s="82"/>
      <c r="J12" s="82"/>
      <c r="K12" s="82"/>
      <c r="L12" s="82"/>
      <c r="M12" s="82"/>
      <c r="N12" s="82"/>
      <c r="P12" s="35"/>
      <c r="Q12" s="35"/>
      <c r="R12" s="35"/>
      <c r="S12" s="37"/>
      <c r="T12" s="62"/>
      <c r="U12" s="62"/>
      <c r="V12" s="62"/>
      <c r="W12" s="62"/>
      <c r="AC12" s="35"/>
      <c r="AD12" s="35"/>
      <c r="AE12" s="35"/>
    </row>
    <row r="13" spans="1:34" s="36" customFormat="1" ht="15.75" customHeight="1">
      <c r="A13" s="35"/>
      <c r="B13" s="35"/>
      <c r="C13" s="35"/>
      <c r="D13" s="35"/>
      <c r="E13" s="35"/>
      <c r="F13" s="35"/>
      <c r="G13" s="35"/>
      <c r="H13" s="35"/>
      <c r="P13" s="35"/>
      <c r="Q13" s="35"/>
      <c r="R13" s="35"/>
      <c r="S13" s="35"/>
      <c r="T13" s="35"/>
      <c r="U13" s="35"/>
      <c r="AC13" s="35"/>
      <c r="AD13" s="35"/>
      <c r="AE13" s="35"/>
      <c r="AF13" s="35"/>
      <c r="AG13" s="35"/>
      <c r="AH13" s="35"/>
    </row>
    <row r="14" spans="1:34" s="34" customFormat="1" ht="15">
      <c r="A14" s="38" t="s">
        <v>35</v>
      </c>
      <c r="B14" s="38"/>
      <c r="C14" s="38"/>
      <c r="D14" s="38"/>
      <c r="E14" s="38"/>
      <c r="F14" s="38"/>
      <c r="G14" s="38"/>
      <c r="H14" s="38"/>
      <c r="P14" s="38"/>
      <c r="Q14" s="38"/>
      <c r="R14" s="38"/>
      <c r="S14" s="38"/>
      <c r="T14" s="38"/>
      <c r="U14" s="38"/>
      <c r="AC14" s="39"/>
      <c r="AD14" s="39"/>
      <c r="AE14" s="39"/>
      <c r="AF14" s="39"/>
      <c r="AG14" s="39"/>
      <c r="AH14" s="39"/>
    </row>
    <row r="15" s="40" customFormat="1" ht="12.75"/>
    <row r="16" spans="1:36" ht="15">
      <c r="A16" s="38" t="s">
        <v>49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P16" s="38"/>
      <c r="Q16" s="38"/>
      <c r="R16" s="38"/>
      <c r="S16" s="38"/>
      <c r="T16" s="38"/>
      <c r="U16" s="38"/>
      <c r="V16" s="38"/>
      <c r="W16" s="38"/>
      <c r="AC16" s="39"/>
      <c r="AD16" s="39"/>
      <c r="AE16" s="39"/>
      <c r="AF16" s="39"/>
      <c r="AG16" s="39"/>
      <c r="AH16" s="39"/>
      <c r="AI16" s="39"/>
      <c r="AJ16" s="39"/>
    </row>
    <row r="17" s="40" customFormat="1" ht="12.75"/>
    <row r="18" spans="1:34" s="40" customFormat="1" ht="12.75" customHeight="1">
      <c r="A18" s="76" t="s">
        <v>39</v>
      </c>
      <c r="B18" s="77" t="s">
        <v>37</v>
      </c>
      <c r="C18" s="76" t="s">
        <v>38</v>
      </c>
      <c r="D18" s="78" t="s">
        <v>0</v>
      </c>
      <c r="E18" s="78"/>
      <c r="F18" s="78"/>
      <c r="G18" s="78"/>
      <c r="H18" s="76" t="s">
        <v>43</v>
      </c>
      <c r="I18" s="78" t="s">
        <v>66</v>
      </c>
      <c r="J18" s="78"/>
      <c r="K18" s="78"/>
      <c r="L18" s="78"/>
      <c r="M18" s="78"/>
      <c r="N18" s="78"/>
      <c r="P18" s="63" t="s">
        <v>38</v>
      </c>
      <c r="Q18" s="66" t="s">
        <v>0</v>
      </c>
      <c r="R18" s="67"/>
      <c r="S18" s="67"/>
      <c r="T18" s="68"/>
      <c r="U18" s="63" t="s">
        <v>43</v>
      </c>
      <c r="V18" s="66" t="s">
        <v>66</v>
      </c>
      <c r="W18" s="67"/>
      <c r="AC18" s="76" t="s">
        <v>38</v>
      </c>
      <c r="AD18" s="78" t="s">
        <v>0</v>
      </c>
      <c r="AE18" s="78"/>
      <c r="AF18" s="78"/>
      <c r="AG18" s="78"/>
      <c r="AH18" s="76" t="s">
        <v>43</v>
      </c>
    </row>
    <row r="19" spans="1:36" s="40" customFormat="1" ht="76.5" customHeight="1">
      <c r="A19" s="76"/>
      <c r="B19" s="77"/>
      <c r="C19" s="76"/>
      <c r="D19" s="76" t="s">
        <v>1</v>
      </c>
      <c r="E19" s="76" t="s">
        <v>40</v>
      </c>
      <c r="F19" s="76" t="s">
        <v>41</v>
      </c>
      <c r="G19" s="76" t="s">
        <v>42</v>
      </c>
      <c r="H19" s="76"/>
      <c r="I19" s="76" t="s">
        <v>36</v>
      </c>
      <c r="J19" s="76"/>
      <c r="K19" s="69" t="s">
        <v>46</v>
      </c>
      <c r="L19" s="79"/>
      <c r="M19" s="70"/>
      <c r="N19" s="75" t="s">
        <v>47</v>
      </c>
      <c r="P19" s="64"/>
      <c r="Q19" s="63" t="s">
        <v>1</v>
      </c>
      <c r="R19" s="63" t="s">
        <v>40</v>
      </c>
      <c r="S19" s="63" t="s">
        <v>41</v>
      </c>
      <c r="T19" s="63" t="s">
        <v>42</v>
      </c>
      <c r="U19" s="64"/>
      <c r="V19" s="69" t="s">
        <v>36</v>
      </c>
      <c r="W19" s="70"/>
      <c r="AC19" s="76"/>
      <c r="AD19" s="76" t="s">
        <v>1</v>
      </c>
      <c r="AE19" s="76" t="s">
        <v>40</v>
      </c>
      <c r="AF19" s="76" t="s">
        <v>41</v>
      </c>
      <c r="AG19" s="76" t="s">
        <v>42</v>
      </c>
      <c r="AH19" s="76"/>
      <c r="AI19" s="76" t="s">
        <v>36</v>
      </c>
      <c r="AJ19" s="76"/>
    </row>
    <row r="20" spans="1:36" s="40" customFormat="1" ht="39" customHeight="1">
      <c r="A20" s="76"/>
      <c r="B20" s="77"/>
      <c r="C20" s="76"/>
      <c r="D20" s="76"/>
      <c r="E20" s="76"/>
      <c r="F20" s="76"/>
      <c r="G20" s="76"/>
      <c r="H20" s="76"/>
      <c r="I20" s="42" t="s">
        <v>44</v>
      </c>
      <c r="J20" s="42" t="s">
        <v>45</v>
      </c>
      <c r="K20" s="42" t="s">
        <v>83</v>
      </c>
      <c r="L20" s="42" t="s">
        <v>44</v>
      </c>
      <c r="M20" s="42" t="s">
        <v>45</v>
      </c>
      <c r="N20" s="75"/>
      <c r="P20" s="65"/>
      <c r="Q20" s="65"/>
      <c r="R20" s="65"/>
      <c r="S20" s="65"/>
      <c r="T20" s="65"/>
      <c r="U20" s="65"/>
      <c r="V20" s="42" t="s">
        <v>44</v>
      </c>
      <c r="W20" s="42" t="s">
        <v>45</v>
      </c>
      <c r="AC20" s="76"/>
      <c r="AD20" s="76"/>
      <c r="AE20" s="76"/>
      <c r="AF20" s="76"/>
      <c r="AG20" s="76"/>
      <c r="AH20" s="76"/>
      <c r="AI20" s="42" t="s">
        <v>44</v>
      </c>
      <c r="AJ20" s="42" t="s">
        <v>45</v>
      </c>
    </row>
    <row r="21" spans="1:36" s="40" customFormat="1" ht="12.75">
      <c r="A21" s="44">
        <v>1</v>
      </c>
      <c r="B21" s="44">
        <v>2</v>
      </c>
      <c r="C21" s="44">
        <v>3</v>
      </c>
      <c r="D21" s="44" t="s">
        <v>48</v>
      </c>
      <c r="E21" s="44">
        <v>5</v>
      </c>
      <c r="F21" s="44">
        <v>6</v>
      </c>
      <c r="G21" s="44">
        <v>7</v>
      </c>
      <c r="H21" s="44" t="s">
        <v>146</v>
      </c>
      <c r="I21" s="43">
        <v>9</v>
      </c>
      <c r="J21" s="43">
        <v>10</v>
      </c>
      <c r="K21" s="43">
        <v>11</v>
      </c>
      <c r="L21" s="43">
        <v>12</v>
      </c>
      <c r="M21" s="43">
        <v>13</v>
      </c>
      <c r="N21" s="43">
        <v>14</v>
      </c>
      <c r="P21" s="44">
        <v>3</v>
      </c>
      <c r="Q21" s="44" t="s">
        <v>48</v>
      </c>
      <c r="R21" s="44">
        <v>5</v>
      </c>
      <c r="S21" s="44">
        <v>6</v>
      </c>
      <c r="T21" s="44">
        <v>7</v>
      </c>
      <c r="U21" s="44" t="s">
        <v>146</v>
      </c>
      <c r="V21" s="43">
        <v>9</v>
      </c>
      <c r="W21" s="43">
        <v>10</v>
      </c>
      <c r="AC21" s="44">
        <v>3</v>
      </c>
      <c r="AD21" s="44" t="s">
        <v>48</v>
      </c>
      <c r="AE21" s="44">
        <v>5</v>
      </c>
      <c r="AF21" s="44">
        <v>6</v>
      </c>
      <c r="AG21" s="44">
        <v>7</v>
      </c>
      <c r="AH21" s="44" t="s">
        <v>146</v>
      </c>
      <c r="AI21" s="43">
        <v>9</v>
      </c>
      <c r="AJ21" s="43">
        <v>10</v>
      </c>
    </row>
    <row r="22" spans="1:36" s="40" customFormat="1" ht="12.75">
      <c r="A22" s="44">
        <v>1</v>
      </c>
      <c r="B22" s="45" t="s">
        <v>148</v>
      </c>
      <c r="C22" s="44">
        <v>1</v>
      </c>
      <c r="D22" s="46">
        <f>E22+F22+G22</f>
        <v>11121.931791999992</v>
      </c>
      <c r="E22" s="46">
        <f>R22-AE22</f>
        <v>6744.996251999997</v>
      </c>
      <c r="F22" s="46"/>
      <c r="G22" s="46">
        <f>T22-AG22</f>
        <v>4376.935539999995</v>
      </c>
      <c r="H22" s="46">
        <f>D22*C22*12</f>
        <v>133463.18150399992</v>
      </c>
      <c r="I22" s="47"/>
      <c r="J22" s="47">
        <f>H22</f>
        <v>133463.18150399992</v>
      </c>
      <c r="K22" s="43"/>
      <c r="L22" s="43"/>
      <c r="M22" s="43"/>
      <c r="N22" s="43"/>
      <c r="P22" s="44">
        <v>1</v>
      </c>
      <c r="Q22" s="46">
        <f aca="true" t="shared" si="0" ref="Q22:Q32">R22+S22+T22</f>
        <v>83552.88</v>
      </c>
      <c r="R22" s="46">
        <v>50638.11</v>
      </c>
      <c r="S22" s="46"/>
      <c r="T22" s="46">
        <v>32914.77</v>
      </c>
      <c r="U22" s="46">
        <f>Q22*P22*12</f>
        <v>1002634.56</v>
      </c>
      <c r="V22" s="47"/>
      <c r="W22" s="47">
        <f>U22</f>
        <v>1002634.56</v>
      </c>
      <c r="AC22" s="44">
        <v>1</v>
      </c>
      <c r="AD22" s="46">
        <f aca="true" t="shared" si="1" ref="AD22:AD42">AE22+AF22+AG22</f>
        <v>72430.948208</v>
      </c>
      <c r="AE22" s="46">
        <f>50638.11*86.68/100</f>
        <v>43893.113748</v>
      </c>
      <c r="AF22" s="46"/>
      <c r="AG22" s="46">
        <f>32914.7*86.68/100+7.3725</f>
        <v>28537.834460000002</v>
      </c>
      <c r="AH22" s="46">
        <f aca="true" t="shared" si="2" ref="AH22:AH28">AD22*AC22*12</f>
        <v>869171.3784960001</v>
      </c>
      <c r="AI22" s="47"/>
      <c r="AJ22" s="47">
        <f aca="true" t="shared" si="3" ref="AJ22:AJ42">AH22</f>
        <v>869171.3784960001</v>
      </c>
    </row>
    <row r="23" spans="1:36" s="40" customFormat="1" ht="12.75">
      <c r="A23" s="44">
        <f>A22+1</f>
        <v>2</v>
      </c>
      <c r="B23" s="45" t="s">
        <v>149</v>
      </c>
      <c r="C23" s="44">
        <v>1</v>
      </c>
      <c r="D23" s="46">
        <f aca="true" t="shared" si="4" ref="D23:D42">E23+F23+G23</f>
        <v>10046.39936</v>
      </c>
      <c r="E23" s="46">
        <f aca="true" t="shared" si="5" ref="E23:E42">R23-AE23</f>
        <v>6088.7264799999975</v>
      </c>
      <c r="F23" s="46"/>
      <c r="G23" s="46">
        <f aca="true" t="shared" si="6" ref="G23:G42">T23-AG23</f>
        <v>3957.672880000002</v>
      </c>
      <c r="H23" s="46">
        <f aca="true" t="shared" si="7" ref="H23:H38">D23*C23*12</f>
        <v>120556.79232</v>
      </c>
      <c r="I23" s="47"/>
      <c r="J23" s="47">
        <f aca="true" t="shared" si="8" ref="J23:J41">H23</f>
        <v>120556.79232</v>
      </c>
      <c r="K23" s="43"/>
      <c r="L23" s="43"/>
      <c r="M23" s="43"/>
      <c r="N23" s="43"/>
      <c r="P23" s="44">
        <v>1</v>
      </c>
      <c r="Q23" s="46">
        <f t="shared" si="0"/>
        <v>75197.6</v>
      </c>
      <c r="R23" s="46">
        <v>45574.3</v>
      </c>
      <c r="S23" s="46"/>
      <c r="T23" s="46">
        <v>29623.3</v>
      </c>
      <c r="U23" s="46">
        <f aca="true" t="shared" si="9" ref="U23:U28">Q23*P23*12</f>
        <v>902371.2000000001</v>
      </c>
      <c r="V23" s="47"/>
      <c r="W23" s="47">
        <f aca="true" t="shared" si="10" ref="W23:W28">U23</f>
        <v>902371.2000000001</v>
      </c>
      <c r="AC23" s="44">
        <v>1</v>
      </c>
      <c r="AD23" s="46">
        <f t="shared" si="1"/>
        <v>65151.20064</v>
      </c>
      <c r="AE23" s="46">
        <f>45574.3*86.64/100</f>
        <v>39485.573520000005</v>
      </c>
      <c r="AF23" s="46"/>
      <c r="AG23" s="46">
        <f>29623.3*86.64/100</f>
        <v>25665.627119999997</v>
      </c>
      <c r="AH23" s="46">
        <f t="shared" si="2"/>
        <v>781814.4076800001</v>
      </c>
      <c r="AI23" s="47"/>
      <c r="AJ23" s="47">
        <f t="shared" si="3"/>
        <v>781814.4076800001</v>
      </c>
    </row>
    <row r="24" spans="1:36" s="40" customFormat="1" ht="12.75">
      <c r="A24" s="44">
        <f aca="true" t="shared" si="11" ref="A24:A42">A23+1</f>
        <v>3</v>
      </c>
      <c r="B24" s="45" t="s">
        <v>150</v>
      </c>
      <c r="C24" s="44">
        <v>1</v>
      </c>
      <c r="D24" s="46">
        <f t="shared" si="4"/>
        <v>8930.132615999995</v>
      </c>
      <c r="E24" s="46">
        <f t="shared" si="5"/>
        <v>5412.201463999998</v>
      </c>
      <c r="F24" s="46"/>
      <c r="G24" s="46">
        <f t="shared" si="6"/>
        <v>3517.9311519999974</v>
      </c>
      <c r="H24" s="46">
        <f t="shared" si="7"/>
        <v>107161.59139199994</v>
      </c>
      <c r="I24" s="47"/>
      <c r="J24" s="47">
        <f t="shared" si="8"/>
        <v>107161.59139199994</v>
      </c>
      <c r="K24" s="48"/>
      <c r="L24" s="48"/>
      <c r="M24" s="48"/>
      <c r="N24" s="48"/>
      <c r="P24" s="44">
        <v>1</v>
      </c>
      <c r="Q24" s="46">
        <f t="shared" si="0"/>
        <v>66842.31</v>
      </c>
      <c r="R24" s="46">
        <v>40510.49</v>
      </c>
      <c r="S24" s="46"/>
      <c r="T24" s="46">
        <v>26331.82</v>
      </c>
      <c r="U24" s="46">
        <f t="shared" si="9"/>
        <v>802107.72</v>
      </c>
      <c r="V24" s="47"/>
      <c r="W24" s="47">
        <f t="shared" si="10"/>
        <v>802107.72</v>
      </c>
      <c r="AC24" s="44">
        <v>1</v>
      </c>
      <c r="AD24" s="46">
        <f t="shared" si="1"/>
        <v>57912.177384</v>
      </c>
      <c r="AE24" s="46">
        <f>40510.49*86.64/100</f>
        <v>35098.288536</v>
      </c>
      <c r="AF24" s="46"/>
      <c r="AG24" s="46">
        <f>26331.82*86.64/100</f>
        <v>22813.888848000002</v>
      </c>
      <c r="AH24" s="46">
        <f t="shared" si="2"/>
        <v>694946.128608</v>
      </c>
      <c r="AI24" s="47"/>
      <c r="AJ24" s="47">
        <f t="shared" si="3"/>
        <v>694946.128608</v>
      </c>
    </row>
    <row r="25" spans="1:36" s="40" customFormat="1" ht="12.75">
      <c r="A25" s="44">
        <f t="shared" si="11"/>
        <v>4</v>
      </c>
      <c r="B25" s="45" t="s">
        <v>151</v>
      </c>
      <c r="C25" s="44">
        <v>1</v>
      </c>
      <c r="D25" s="46">
        <f t="shared" si="4"/>
        <v>4741.482703999998</v>
      </c>
      <c r="E25" s="46">
        <f t="shared" si="5"/>
        <v>2873.625111999998</v>
      </c>
      <c r="F25" s="46"/>
      <c r="G25" s="46">
        <f t="shared" si="6"/>
        <v>1867.8575920000003</v>
      </c>
      <c r="H25" s="46">
        <f t="shared" si="7"/>
        <v>56897.79244799998</v>
      </c>
      <c r="I25" s="47"/>
      <c r="J25" s="47">
        <f t="shared" si="8"/>
        <v>56897.79244799998</v>
      </c>
      <c r="K25" s="43"/>
      <c r="L25" s="43"/>
      <c r="M25" s="43"/>
      <c r="N25" s="43"/>
      <c r="P25" s="44">
        <v>1</v>
      </c>
      <c r="Q25" s="46">
        <f t="shared" si="0"/>
        <v>35490.14</v>
      </c>
      <c r="R25" s="46">
        <v>21509.17</v>
      </c>
      <c r="S25" s="46"/>
      <c r="T25" s="46">
        <f>2150.92+8603.67+3226.38</f>
        <v>13980.970000000001</v>
      </c>
      <c r="U25" s="46">
        <f t="shared" si="9"/>
        <v>425881.68</v>
      </c>
      <c r="V25" s="47"/>
      <c r="W25" s="47">
        <f t="shared" si="10"/>
        <v>425881.68</v>
      </c>
      <c r="AC25" s="44">
        <v>1</v>
      </c>
      <c r="AD25" s="46">
        <f t="shared" si="1"/>
        <v>30748.657296</v>
      </c>
      <c r="AE25" s="46">
        <f>21509.17*86.64/100</f>
        <v>18635.544888</v>
      </c>
      <c r="AF25" s="46"/>
      <c r="AG25" s="46">
        <f>(2150.92+8603.67+3226.38)*86.64/100</f>
        <v>12113.112408</v>
      </c>
      <c r="AH25" s="46">
        <f t="shared" si="2"/>
        <v>368983.887552</v>
      </c>
      <c r="AI25" s="47"/>
      <c r="AJ25" s="47">
        <f t="shared" si="3"/>
        <v>368983.887552</v>
      </c>
    </row>
    <row r="26" spans="1:36" s="40" customFormat="1" ht="12.75">
      <c r="A26" s="44">
        <f t="shared" si="11"/>
        <v>5</v>
      </c>
      <c r="B26" s="45" t="s">
        <v>152</v>
      </c>
      <c r="C26" s="44">
        <v>1</v>
      </c>
      <c r="D26" s="46">
        <f>E26+F26+G26</f>
        <v>4238.606959999999</v>
      </c>
      <c r="E26" s="46">
        <f t="shared" si="5"/>
        <v>2568.852783999999</v>
      </c>
      <c r="F26" s="46"/>
      <c r="G26" s="46">
        <f t="shared" si="6"/>
        <v>1669.7541760000004</v>
      </c>
      <c r="H26" s="46">
        <f t="shared" si="7"/>
        <v>50863.28351999999</v>
      </c>
      <c r="I26" s="47"/>
      <c r="J26" s="47">
        <f t="shared" si="8"/>
        <v>50863.28351999999</v>
      </c>
      <c r="K26" s="43"/>
      <c r="L26" s="43"/>
      <c r="M26" s="43"/>
      <c r="N26" s="43"/>
      <c r="P26" s="44">
        <v>1</v>
      </c>
      <c r="Q26" s="46">
        <f t="shared" si="0"/>
        <v>31726.1</v>
      </c>
      <c r="R26" s="46">
        <v>19227.94</v>
      </c>
      <c r="S26" s="46"/>
      <c r="T26" s="46">
        <f>1922.79+7691.18+2884.19</f>
        <v>12498.160000000002</v>
      </c>
      <c r="U26" s="46">
        <f t="shared" si="9"/>
        <v>380713.19999999995</v>
      </c>
      <c r="V26" s="47"/>
      <c r="W26" s="47">
        <f t="shared" si="10"/>
        <v>380713.19999999995</v>
      </c>
      <c r="AC26" s="44">
        <v>1</v>
      </c>
      <c r="AD26" s="46">
        <f t="shared" si="1"/>
        <v>27487.49304</v>
      </c>
      <c r="AE26" s="46">
        <f>19227.94*86.64/100</f>
        <v>16659.087216</v>
      </c>
      <c r="AF26" s="46"/>
      <c r="AG26" s="46">
        <f>(1922.79+7691.18+2884.19)*86.64/100</f>
        <v>10828.405824000001</v>
      </c>
      <c r="AH26" s="46">
        <f t="shared" si="2"/>
        <v>329849.91648</v>
      </c>
      <c r="AI26" s="47"/>
      <c r="AJ26" s="47">
        <f t="shared" si="3"/>
        <v>329849.91648</v>
      </c>
    </row>
    <row r="27" spans="1:36" s="40" customFormat="1" ht="12.75">
      <c r="A27" s="44">
        <f t="shared" si="11"/>
        <v>6</v>
      </c>
      <c r="B27" s="45" t="s">
        <v>153</v>
      </c>
      <c r="C27" s="44">
        <v>1</v>
      </c>
      <c r="D27" s="46">
        <f t="shared" si="4"/>
        <v>3951.3429119999983</v>
      </c>
      <c r="E27" s="46">
        <f t="shared" si="5"/>
        <v>2394.753279999999</v>
      </c>
      <c r="F27" s="46"/>
      <c r="G27" s="46">
        <f t="shared" si="6"/>
        <v>1556.5896319999993</v>
      </c>
      <c r="H27" s="46">
        <f t="shared" si="7"/>
        <v>47416.11494399998</v>
      </c>
      <c r="I27" s="47"/>
      <c r="J27" s="47">
        <f t="shared" si="8"/>
        <v>47416.11494399998</v>
      </c>
      <c r="K27" s="48"/>
      <c r="L27" s="48"/>
      <c r="M27" s="48"/>
      <c r="N27" s="48"/>
      <c r="P27" s="44">
        <v>1</v>
      </c>
      <c r="Q27" s="46">
        <f t="shared" si="0"/>
        <v>29575.92</v>
      </c>
      <c r="R27" s="46">
        <v>17924.8</v>
      </c>
      <c r="S27" s="46"/>
      <c r="T27" s="46">
        <f>1792.48+7169.92+2688.72</f>
        <v>11651.119999999999</v>
      </c>
      <c r="U27" s="46">
        <f t="shared" si="9"/>
        <v>354911.04</v>
      </c>
      <c r="V27" s="47"/>
      <c r="W27" s="47">
        <f t="shared" si="10"/>
        <v>354911.04</v>
      </c>
      <c r="AC27" s="44">
        <v>1</v>
      </c>
      <c r="AD27" s="46">
        <f t="shared" si="1"/>
        <v>25624.577088</v>
      </c>
      <c r="AE27" s="46">
        <f>17924.8*86.64/100</f>
        <v>15530.04672</v>
      </c>
      <c r="AF27" s="46"/>
      <c r="AG27" s="46">
        <f>(1792.48+7169.92+2688.72)*86.64/100</f>
        <v>10094.530368</v>
      </c>
      <c r="AH27" s="46">
        <f t="shared" si="2"/>
        <v>307494.925056</v>
      </c>
      <c r="AI27" s="47"/>
      <c r="AJ27" s="47">
        <f t="shared" si="3"/>
        <v>307494.925056</v>
      </c>
    </row>
    <row r="28" spans="1:36" s="40" customFormat="1" ht="12.75">
      <c r="A28" s="44">
        <f t="shared" si="11"/>
        <v>7</v>
      </c>
      <c r="B28" s="45" t="s">
        <v>154</v>
      </c>
      <c r="C28" s="44">
        <v>1</v>
      </c>
      <c r="D28" s="46">
        <f t="shared" si="4"/>
        <v>3304.7282639999994</v>
      </c>
      <c r="E28" s="46">
        <f t="shared" si="5"/>
        <v>2002.8657359999997</v>
      </c>
      <c r="F28" s="46"/>
      <c r="G28" s="46">
        <f t="shared" si="6"/>
        <v>1301.8625279999997</v>
      </c>
      <c r="H28" s="46">
        <f t="shared" si="7"/>
        <v>39656.73916799999</v>
      </c>
      <c r="I28" s="47"/>
      <c r="J28" s="47">
        <f t="shared" si="8"/>
        <v>39656.73916799999</v>
      </c>
      <c r="K28" s="43"/>
      <c r="L28" s="43"/>
      <c r="M28" s="43"/>
      <c r="N28" s="43"/>
      <c r="P28" s="44">
        <v>1</v>
      </c>
      <c r="Q28" s="46">
        <f t="shared" si="0"/>
        <v>24735.989999999998</v>
      </c>
      <c r="R28" s="46">
        <v>14991.51</v>
      </c>
      <c r="S28" s="46"/>
      <c r="T28" s="46">
        <f>1499.15+5996.6+2248.73</f>
        <v>9744.48</v>
      </c>
      <c r="U28" s="46">
        <f t="shared" si="9"/>
        <v>296831.88</v>
      </c>
      <c r="V28" s="47"/>
      <c r="W28" s="47">
        <f t="shared" si="10"/>
        <v>296831.88</v>
      </c>
      <c r="AC28" s="44">
        <v>1</v>
      </c>
      <c r="AD28" s="46">
        <f t="shared" si="1"/>
        <v>21431.261736</v>
      </c>
      <c r="AE28" s="46">
        <f>14991.51*86.64/100</f>
        <v>12988.644264</v>
      </c>
      <c r="AF28" s="46"/>
      <c r="AG28" s="46">
        <f>(1499.15+5996.6+2248.73)*86.64/100</f>
        <v>8442.617472</v>
      </c>
      <c r="AH28" s="46">
        <f t="shared" si="2"/>
        <v>257175.140832</v>
      </c>
      <c r="AI28" s="47"/>
      <c r="AJ28" s="47">
        <f t="shared" si="3"/>
        <v>257175.140832</v>
      </c>
    </row>
    <row r="29" spans="1:36" s="40" customFormat="1" ht="12.75">
      <c r="A29" s="44">
        <f t="shared" si="11"/>
        <v>8</v>
      </c>
      <c r="B29" s="45" t="s">
        <v>190</v>
      </c>
      <c r="C29" s="44">
        <v>0.5</v>
      </c>
      <c r="D29" s="46">
        <f t="shared" si="4"/>
        <v>3304.7282639999994</v>
      </c>
      <c r="E29" s="46">
        <f t="shared" si="5"/>
        <v>2002.8657359999997</v>
      </c>
      <c r="F29" s="46"/>
      <c r="G29" s="46">
        <f t="shared" si="6"/>
        <v>1301.8625279999997</v>
      </c>
      <c r="H29" s="46">
        <f>D29*C29*12+0.06</f>
        <v>19828.429583999998</v>
      </c>
      <c r="I29" s="47"/>
      <c r="J29" s="47">
        <f>H29</f>
        <v>19828.429583999998</v>
      </c>
      <c r="K29" s="48"/>
      <c r="L29" s="48"/>
      <c r="M29" s="48"/>
      <c r="N29" s="48"/>
      <c r="P29" s="44">
        <v>0.5</v>
      </c>
      <c r="Q29" s="46">
        <f t="shared" si="0"/>
        <v>24735.989999999998</v>
      </c>
      <c r="R29" s="46">
        <v>14991.51</v>
      </c>
      <c r="S29" s="46"/>
      <c r="T29" s="46">
        <f>1499.15+5996.6+2248.73</f>
        <v>9744.48</v>
      </c>
      <c r="U29" s="46">
        <f>Q29*P29*12+0.06</f>
        <v>148416</v>
      </c>
      <c r="V29" s="47"/>
      <c r="W29" s="47">
        <f>U29</f>
        <v>148416</v>
      </c>
      <c r="AC29" s="44">
        <v>0.5</v>
      </c>
      <c r="AD29" s="46">
        <f t="shared" si="1"/>
        <v>21431.261736</v>
      </c>
      <c r="AE29" s="46">
        <f>14991.51*86.64/100</f>
        <v>12988.644264</v>
      </c>
      <c r="AF29" s="46"/>
      <c r="AG29" s="46">
        <f>(1499.15+5996.6+2248.73)*86.64/100</f>
        <v>8442.617472</v>
      </c>
      <c r="AH29" s="46">
        <f aca="true" t="shared" si="12" ref="AH29:AH40">AD29*AC29*12</f>
        <v>128587.570416</v>
      </c>
      <c r="AI29" s="47"/>
      <c r="AJ29" s="47">
        <f t="shared" si="3"/>
        <v>128587.570416</v>
      </c>
    </row>
    <row r="30" spans="1:36" s="40" customFormat="1" ht="12.75">
      <c r="A30" s="44">
        <f t="shared" si="11"/>
        <v>9</v>
      </c>
      <c r="B30" s="45" t="s">
        <v>155</v>
      </c>
      <c r="C30" s="44">
        <v>0.5</v>
      </c>
      <c r="D30" s="46">
        <f t="shared" si="4"/>
        <v>3304.7282639999994</v>
      </c>
      <c r="E30" s="46">
        <f t="shared" si="5"/>
        <v>2002.8657359999997</v>
      </c>
      <c r="F30" s="46"/>
      <c r="G30" s="46">
        <f t="shared" si="6"/>
        <v>1301.8625279999997</v>
      </c>
      <c r="H30" s="46">
        <f>D30*C30*12+0.06</f>
        <v>19828.429583999998</v>
      </c>
      <c r="I30" s="47"/>
      <c r="J30" s="47">
        <f>H30</f>
        <v>19828.429583999998</v>
      </c>
      <c r="K30" s="43"/>
      <c r="L30" s="43"/>
      <c r="M30" s="43"/>
      <c r="N30" s="43"/>
      <c r="P30" s="44">
        <v>0.5</v>
      </c>
      <c r="Q30" s="46">
        <f t="shared" si="0"/>
        <v>24735.989999999998</v>
      </c>
      <c r="R30" s="46">
        <v>14991.51</v>
      </c>
      <c r="S30" s="46"/>
      <c r="T30" s="46">
        <f>1499.15+5996.6+2248.73</f>
        <v>9744.48</v>
      </c>
      <c r="U30" s="46">
        <f>Q30*P30*12+0.06</f>
        <v>148416</v>
      </c>
      <c r="V30" s="47"/>
      <c r="W30" s="47">
        <f>U30</f>
        <v>148416</v>
      </c>
      <c r="AC30" s="44">
        <v>0.5</v>
      </c>
      <c r="AD30" s="46">
        <f t="shared" si="1"/>
        <v>21431.261736</v>
      </c>
      <c r="AE30" s="46">
        <f>14991.51*86.64/100</f>
        <v>12988.644264</v>
      </c>
      <c r="AF30" s="46"/>
      <c r="AG30" s="46">
        <f>(1499.15+5996.6+2248.73)*86.64/100</f>
        <v>8442.617472</v>
      </c>
      <c r="AH30" s="46">
        <f t="shared" si="12"/>
        <v>128587.570416</v>
      </c>
      <c r="AI30" s="47"/>
      <c r="AJ30" s="47">
        <f t="shared" si="3"/>
        <v>128587.570416</v>
      </c>
    </row>
    <row r="31" spans="1:36" s="40" customFormat="1" ht="26.25">
      <c r="A31" s="44">
        <f t="shared" si="11"/>
        <v>10</v>
      </c>
      <c r="B31" s="49" t="s">
        <v>156</v>
      </c>
      <c r="C31" s="44">
        <v>1</v>
      </c>
      <c r="D31" s="46">
        <f t="shared" si="4"/>
        <v>3304.7282639999994</v>
      </c>
      <c r="E31" s="46">
        <f t="shared" si="5"/>
        <v>2002.8657359999997</v>
      </c>
      <c r="F31" s="46"/>
      <c r="G31" s="46">
        <f t="shared" si="6"/>
        <v>1301.8625279999997</v>
      </c>
      <c r="H31" s="46">
        <f>D31*C31*12</f>
        <v>39656.73916799999</v>
      </c>
      <c r="I31" s="47"/>
      <c r="J31" s="47">
        <f>H31</f>
        <v>39656.73916799999</v>
      </c>
      <c r="K31" s="43"/>
      <c r="L31" s="43"/>
      <c r="M31" s="43"/>
      <c r="N31" s="43"/>
      <c r="P31" s="44">
        <v>1</v>
      </c>
      <c r="Q31" s="46">
        <f t="shared" si="0"/>
        <v>24735.989999999998</v>
      </c>
      <c r="R31" s="46">
        <v>14991.51</v>
      </c>
      <c r="S31" s="46"/>
      <c r="T31" s="46">
        <f>1499.15+5996.6+2248.73</f>
        <v>9744.48</v>
      </c>
      <c r="U31" s="46">
        <f aca="true" t="shared" si="13" ref="U31:U36">Q31*P31*12</f>
        <v>296831.88</v>
      </c>
      <c r="V31" s="47"/>
      <c r="W31" s="47">
        <f>U31</f>
        <v>296831.88</v>
      </c>
      <c r="AC31" s="44">
        <v>1</v>
      </c>
      <c r="AD31" s="46">
        <f t="shared" si="1"/>
        <v>21431.261736</v>
      </c>
      <c r="AE31" s="46">
        <f>14991.51*86.64/100</f>
        <v>12988.644264</v>
      </c>
      <c r="AF31" s="46"/>
      <c r="AG31" s="46">
        <f>(1499.15+5996.6+2248.73)*86.64/100</f>
        <v>8442.617472</v>
      </c>
      <c r="AH31" s="46">
        <f t="shared" si="12"/>
        <v>257175.140832</v>
      </c>
      <c r="AI31" s="47"/>
      <c r="AJ31" s="47">
        <f t="shared" si="3"/>
        <v>257175.140832</v>
      </c>
    </row>
    <row r="32" spans="1:36" s="40" customFormat="1" ht="12.75">
      <c r="A32" s="44">
        <f t="shared" si="11"/>
        <v>11</v>
      </c>
      <c r="B32" s="49" t="s">
        <v>191</v>
      </c>
      <c r="C32" s="44">
        <v>0.5</v>
      </c>
      <c r="D32" s="46">
        <f>E32+F32+G32</f>
        <v>2981.529824000001</v>
      </c>
      <c r="E32" s="46">
        <f t="shared" si="5"/>
        <v>1806.988096000001</v>
      </c>
      <c r="F32" s="46"/>
      <c r="G32" s="46">
        <f t="shared" si="6"/>
        <v>1174.5417280000001</v>
      </c>
      <c r="H32" s="46">
        <f>D32*C32*12</f>
        <v>17889.178944000007</v>
      </c>
      <c r="I32" s="47"/>
      <c r="J32" s="47">
        <f>H32</f>
        <v>17889.178944000007</v>
      </c>
      <c r="K32" s="48"/>
      <c r="L32" s="48"/>
      <c r="M32" s="48"/>
      <c r="N32" s="48"/>
      <c r="P32" s="44">
        <v>0.5</v>
      </c>
      <c r="Q32" s="46">
        <f t="shared" si="0"/>
        <v>22316.84</v>
      </c>
      <c r="R32" s="46">
        <v>13525.36</v>
      </c>
      <c r="S32" s="46"/>
      <c r="T32" s="46">
        <f>1352.54+5410.14+2028.8</f>
        <v>8791.48</v>
      </c>
      <c r="U32" s="46">
        <f t="shared" si="13"/>
        <v>133901.04</v>
      </c>
      <c r="V32" s="47"/>
      <c r="W32" s="47">
        <f>U32</f>
        <v>133901.04</v>
      </c>
      <c r="AC32" s="44">
        <v>0.5</v>
      </c>
      <c r="AD32" s="46">
        <f t="shared" si="1"/>
        <v>19335.310176</v>
      </c>
      <c r="AE32" s="46">
        <f>13525.36*86.64/100</f>
        <v>11718.371904</v>
      </c>
      <c r="AF32" s="46"/>
      <c r="AG32" s="46">
        <f>(1352.54+5410.14+2028.8)*86.64/100</f>
        <v>7616.938271999999</v>
      </c>
      <c r="AH32" s="46">
        <f t="shared" si="12"/>
        <v>116011.861056</v>
      </c>
      <c r="AI32" s="47"/>
      <c r="AJ32" s="47">
        <f t="shared" si="3"/>
        <v>116011.861056</v>
      </c>
    </row>
    <row r="33" spans="1:36" s="40" customFormat="1" ht="12.75">
      <c r="A33" s="44">
        <f t="shared" si="11"/>
        <v>12</v>
      </c>
      <c r="B33" s="45" t="s">
        <v>157</v>
      </c>
      <c r="C33" s="44">
        <v>8</v>
      </c>
      <c r="D33" s="46">
        <f t="shared" si="4"/>
        <v>2376.04928</v>
      </c>
      <c r="E33" s="46">
        <f t="shared" si="5"/>
        <v>1349.7634720000005</v>
      </c>
      <c r="F33" s="46">
        <f>S33-AF33</f>
        <v>148.93995199999995</v>
      </c>
      <c r="G33" s="46">
        <f t="shared" si="6"/>
        <v>877.3458559999999</v>
      </c>
      <c r="H33" s="46">
        <f t="shared" si="7"/>
        <v>228100.73088000002</v>
      </c>
      <c r="I33" s="47"/>
      <c r="J33" s="47">
        <f t="shared" si="8"/>
        <v>228100.73088000002</v>
      </c>
      <c r="K33" s="43"/>
      <c r="L33" s="43"/>
      <c r="M33" s="43"/>
      <c r="N33" s="43"/>
      <c r="P33" s="44">
        <v>8</v>
      </c>
      <c r="Q33" s="46">
        <f aca="true" t="shared" si="14" ref="Q33:Q42">R33+S33+T33</f>
        <v>17784.8</v>
      </c>
      <c r="R33" s="46">
        <v>10103.02</v>
      </c>
      <c r="S33" s="46">
        <v>1114.82</v>
      </c>
      <c r="T33" s="46">
        <f>1010.3+4041.21+1515.45</f>
        <v>6566.96</v>
      </c>
      <c r="U33" s="46">
        <f t="shared" si="13"/>
        <v>1707340.7999999998</v>
      </c>
      <c r="V33" s="47"/>
      <c r="W33" s="47">
        <f aca="true" t="shared" si="15" ref="W33:W42">U33</f>
        <v>1707340.7999999998</v>
      </c>
      <c r="AC33" s="44">
        <v>8</v>
      </c>
      <c r="AD33" s="46">
        <f t="shared" si="1"/>
        <v>15408.75072</v>
      </c>
      <c r="AE33" s="46">
        <f>10103.02*86.64/100</f>
        <v>8753.256528</v>
      </c>
      <c r="AF33" s="46">
        <f>1114.82*86.64/100</f>
        <v>965.880048</v>
      </c>
      <c r="AG33" s="46">
        <f>(1010.3+4041.21+1515.45)*86.64/100</f>
        <v>5689.614144</v>
      </c>
      <c r="AH33" s="46">
        <f t="shared" si="12"/>
        <v>1479240.0691200001</v>
      </c>
      <c r="AI33" s="47"/>
      <c r="AJ33" s="47">
        <f t="shared" si="3"/>
        <v>1479240.0691200001</v>
      </c>
    </row>
    <row r="34" spans="1:36" s="40" customFormat="1" ht="12.75">
      <c r="A34" s="44">
        <f t="shared" si="11"/>
        <v>13</v>
      </c>
      <c r="B34" s="45" t="s">
        <v>158</v>
      </c>
      <c r="C34" s="44">
        <v>1</v>
      </c>
      <c r="D34" s="46">
        <f t="shared" si="4"/>
        <v>2191.1736</v>
      </c>
      <c r="E34" s="46">
        <f t="shared" si="5"/>
        <v>1327.9840000000004</v>
      </c>
      <c r="F34" s="46"/>
      <c r="G34" s="46">
        <f t="shared" si="6"/>
        <v>863.1895999999997</v>
      </c>
      <c r="H34" s="46">
        <f t="shared" si="7"/>
        <v>26294.0832</v>
      </c>
      <c r="I34" s="47"/>
      <c r="J34" s="47">
        <f t="shared" si="8"/>
        <v>26294.0832</v>
      </c>
      <c r="K34" s="43"/>
      <c r="L34" s="43"/>
      <c r="M34" s="43"/>
      <c r="N34" s="43"/>
      <c r="P34" s="44">
        <v>1</v>
      </c>
      <c r="Q34" s="46">
        <f t="shared" si="14"/>
        <v>16401</v>
      </c>
      <c r="R34" s="46">
        <v>9940</v>
      </c>
      <c r="S34" s="46"/>
      <c r="T34" s="46">
        <f>994+3976+1491</f>
        <v>6461</v>
      </c>
      <c r="U34" s="46">
        <f t="shared" si="13"/>
        <v>196812</v>
      </c>
      <c r="V34" s="47"/>
      <c r="W34" s="47">
        <f t="shared" si="15"/>
        <v>196812</v>
      </c>
      <c r="AC34" s="44">
        <v>1</v>
      </c>
      <c r="AD34" s="46">
        <f t="shared" si="1"/>
        <v>14209.8264</v>
      </c>
      <c r="AE34" s="46">
        <f>9940*86.64/100</f>
        <v>8612.016</v>
      </c>
      <c r="AF34" s="46"/>
      <c r="AG34" s="46">
        <f>(994+3976+1491)*86.64/100</f>
        <v>5597.8104</v>
      </c>
      <c r="AH34" s="46">
        <f t="shared" si="12"/>
        <v>170517.9168</v>
      </c>
      <c r="AI34" s="47"/>
      <c r="AJ34" s="47">
        <f t="shared" si="3"/>
        <v>170517.9168</v>
      </c>
    </row>
    <row r="35" spans="1:36" s="40" customFormat="1" ht="12.75">
      <c r="A35" s="44">
        <f t="shared" si="11"/>
        <v>14</v>
      </c>
      <c r="B35" s="45" t="s">
        <v>159</v>
      </c>
      <c r="C35" s="44">
        <v>4</v>
      </c>
      <c r="D35" s="46">
        <f t="shared" si="4"/>
        <v>2191.1736</v>
      </c>
      <c r="E35" s="46">
        <f t="shared" si="5"/>
        <v>1327.9840000000004</v>
      </c>
      <c r="F35" s="46"/>
      <c r="G35" s="46">
        <f t="shared" si="6"/>
        <v>863.1895999999997</v>
      </c>
      <c r="H35" s="46">
        <f>D35*C35*12</f>
        <v>105176.3328</v>
      </c>
      <c r="I35" s="47"/>
      <c r="J35" s="47">
        <f>H35</f>
        <v>105176.3328</v>
      </c>
      <c r="K35" s="48"/>
      <c r="L35" s="48"/>
      <c r="M35" s="48"/>
      <c r="N35" s="48"/>
      <c r="P35" s="44">
        <v>4</v>
      </c>
      <c r="Q35" s="46">
        <f t="shared" si="14"/>
        <v>16401</v>
      </c>
      <c r="R35" s="46">
        <v>9940</v>
      </c>
      <c r="S35" s="46"/>
      <c r="T35" s="46">
        <f>994+3976+1491</f>
        <v>6461</v>
      </c>
      <c r="U35" s="46">
        <f t="shared" si="13"/>
        <v>787248</v>
      </c>
      <c r="V35" s="47"/>
      <c r="W35" s="47">
        <f t="shared" si="15"/>
        <v>787248</v>
      </c>
      <c r="AC35" s="44">
        <v>4</v>
      </c>
      <c r="AD35" s="46">
        <f t="shared" si="1"/>
        <v>14209.8264</v>
      </c>
      <c r="AE35" s="46">
        <f>9940*86.64/100</f>
        <v>8612.016</v>
      </c>
      <c r="AF35" s="46"/>
      <c r="AG35" s="46">
        <f>(994+3976+1491)*86.64/100</f>
        <v>5597.8104</v>
      </c>
      <c r="AH35" s="46">
        <f t="shared" si="12"/>
        <v>682071.6672</v>
      </c>
      <c r="AI35" s="47"/>
      <c r="AJ35" s="47">
        <f t="shared" si="3"/>
        <v>682071.6672</v>
      </c>
    </row>
    <row r="36" spans="1:36" s="40" customFormat="1" ht="12.75">
      <c r="A36" s="44">
        <f t="shared" si="11"/>
        <v>15</v>
      </c>
      <c r="B36" s="45" t="s">
        <v>160</v>
      </c>
      <c r="C36" s="44">
        <v>0.75</v>
      </c>
      <c r="D36" s="46">
        <f t="shared" si="4"/>
        <v>2191.1736</v>
      </c>
      <c r="E36" s="46">
        <f t="shared" si="5"/>
        <v>1327.9840000000004</v>
      </c>
      <c r="F36" s="46"/>
      <c r="G36" s="46">
        <f t="shared" si="6"/>
        <v>863.1895999999997</v>
      </c>
      <c r="H36" s="46">
        <f>D36*C36*12</f>
        <v>19720.562400000003</v>
      </c>
      <c r="I36" s="47"/>
      <c r="J36" s="47">
        <f>H36</f>
        <v>19720.562400000003</v>
      </c>
      <c r="K36" s="43"/>
      <c r="L36" s="43"/>
      <c r="M36" s="43"/>
      <c r="N36" s="43"/>
      <c r="P36" s="44">
        <v>0.75</v>
      </c>
      <c r="Q36" s="46">
        <f t="shared" si="14"/>
        <v>16401</v>
      </c>
      <c r="R36" s="46">
        <v>9940</v>
      </c>
      <c r="S36" s="46"/>
      <c r="T36" s="46">
        <f>994+3976+1491</f>
        <v>6461</v>
      </c>
      <c r="U36" s="46">
        <f t="shared" si="13"/>
        <v>147609</v>
      </c>
      <c r="V36" s="47"/>
      <c r="W36" s="47">
        <f t="shared" si="15"/>
        <v>147609</v>
      </c>
      <c r="AC36" s="44">
        <v>0.75</v>
      </c>
      <c r="AD36" s="46">
        <f t="shared" si="1"/>
        <v>14209.8264</v>
      </c>
      <c r="AE36" s="46">
        <f>9940*86.64/100</f>
        <v>8612.016</v>
      </c>
      <c r="AF36" s="46"/>
      <c r="AG36" s="46">
        <f>(994+3976+1491)*86.64/100</f>
        <v>5597.8104</v>
      </c>
      <c r="AH36" s="46">
        <f t="shared" si="12"/>
        <v>127888.4376</v>
      </c>
      <c r="AI36" s="47"/>
      <c r="AJ36" s="47">
        <f t="shared" si="3"/>
        <v>127888.4376</v>
      </c>
    </row>
    <row r="37" spans="1:36" s="40" customFormat="1" ht="12.75">
      <c r="A37" s="44">
        <f t="shared" si="11"/>
        <v>16</v>
      </c>
      <c r="B37" s="45" t="s">
        <v>161</v>
      </c>
      <c r="C37" s="44">
        <v>1</v>
      </c>
      <c r="D37" s="46">
        <f t="shared" si="4"/>
        <v>2729.9850720000013</v>
      </c>
      <c r="E37" s="46">
        <f t="shared" si="5"/>
        <v>1654.5358000000015</v>
      </c>
      <c r="F37" s="46"/>
      <c r="G37" s="46">
        <f t="shared" si="6"/>
        <v>1075.4492719999998</v>
      </c>
      <c r="H37" s="46">
        <f t="shared" si="7"/>
        <v>32759.820864000016</v>
      </c>
      <c r="I37" s="47"/>
      <c r="J37" s="47">
        <f t="shared" si="8"/>
        <v>32759.820864000016</v>
      </c>
      <c r="K37" s="48"/>
      <c r="L37" s="48"/>
      <c r="M37" s="48"/>
      <c r="N37" s="48"/>
      <c r="P37" s="44">
        <v>1</v>
      </c>
      <c r="Q37" s="46">
        <f t="shared" si="14"/>
        <v>20434.02</v>
      </c>
      <c r="R37" s="46">
        <v>12384.25</v>
      </c>
      <c r="S37" s="46"/>
      <c r="T37" s="46">
        <f>1238.43+4953.7+1857.64</f>
        <v>8049.77</v>
      </c>
      <c r="U37" s="46">
        <f aca="true" t="shared" si="16" ref="U37:U42">Q37*P37*12</f>
        <v>245208.24</v>
      </c>
      <c r="V37" s="47"/>
      <c r="W37" s="47">
        <f t="shared" si="15"/>
        <v>245208.24</v>
      </c>
      <c r="AC37" s="44">
        <v>1</v>
      </c>
      <c r="AD37" s="46">
        <f t="shared" si="1"/>
        <v>17704.034928</v>
      </c>
      <c r="AE37" s="46">
        <f>12384.25*86.64/100</f>
        <v>10729.714199999999</v>
      </c>
      <c r="AF37" s="46"/>
      <c r="AG37" s="46">
        <f>(1238.43+4953.7+1857.64)*86.64/100</f>
        <v>6974.320728000001</v>
      </c>
      <c r="AH37" s="46">
        <f t="shared" si="12"/>
        <v>212448.419136</v>
      </c>
      <c r="AI37" s="47"/>
      <c r="AJ37" s="47">
        <f t="shared" si="3"/>
        <v>212448.419136</v>
      </c>
    </row>
    <row r="38" spans="1:36" s="40" customFormat="1" ht="12.75">
      <c r="A38" s="44">
        <f t="shared" si="11"/>
        <v>17</v>
      </c>
      <c r="B38" s="45" t="s">
        <v>162</v>
      </c>
      <c r="C38" s="44">
        <v>1</v>
      </c>
      <c r="D38" s="46">
        <f t="shared" si="4"/>
        <v>3951.3429119999983</v>
      </c>
      <c r="E38" s="46">
        <f t="shared" si="5"/>
        <v>2394.753279999999</v>
      </c>
      <c r="F38" s="46"/>
      <c r="G38" s="46">
        <f t="shared" si="6"/>
        <v>1556.5896319999993</v>
      </c>
      <c r="H38" s="46">
        <f t="shared" si="7"/>
        <v>47416.11494399998</v>
      </c>
      <c r="I38" s="47"/>
      <c r="J38" s="47">
        <f t="shared" si="8"/>
        <v>47416.11494399998</v>
      </c>
      <c r="K38" s="43"/>
      <c r="L38" s="43"/>
      <c r="M38" s="43"/>
      <c r="N38" s="43"/>
      <c r="P38" s="44">
        <v>1</v>
      </c>
      <c r="Q38" s="46">
        <f t="shared" si="14"/>
        <v>29575.92</v>
      </c>
      <c r="R38" s="46">
        <v>17924.8</v>
      </c>
      <c r="S38" s="46"/>
      <c r="T38" s="46">
        <f>1792.48+7169.92+2688.72</f>
        <v>11651.119999999999</v>
      </c>
      <c r="U38" s="46">
        <f t="shared" si="16"/>
        <v>354911.04</v>
      </c>
      <c r="V38" s="47"/>
      <c r="W38" s="47">
        <f t="shared" si="15"/>
        <v>354911.04</v>
      </c>
      <c r="AC38" s="44">
        <v>1</v>
      </c>
      <c r="AD38" s="46">
        <f t="shared" si="1"/>
        <v>25624.577088</v>
      </c>
      <c r="AE38" s="46">
        <f>17924.8*86.64/100</f>
        <v>15530.04672</v>
      </c>
      <c r="AF38" s="46"/>
      <c r="AG38" s="46">
        <f>(1792.48+7169.92+2688.72)*86.64/100</f>
        <v>10094.530368</v>
      </c>
      <c r="AH38" s="46">
        <f t="shared" si="12"/>
        <v>307494.925056</v>
      </c>
      <c r="AI38" s="47"/>
      <c r="AJ38" s="47">
        <f t="shared" si="3"/>
        <v>307494.925056</v>
      </c>
    </row>
    <row r="39" spans="1:36" s="40" customFormat="1" ht="12.75">
      <c r="A39" s="44">
        <f t="shared" si="11"/>
        <v>18</v>
      </c>
      <c r="B39" s="45" t="s">
        <v>163</v>
      </c>
      <c r="C39" s="44">
        <v>1</v>
      </c>
      <c r="D39" s="46">
        <f t="shared" si="4"/>
        <v>3951.3429119999983</v>
      </c>
      <c r="E39" s="46">
        <f t="shared" si="5"/>
        <v>2394.753279999999</v>
      </c>
      <c r="F39" s="46"/>
      <c r="G39" s="46">
        <f t="shared" si="6"/>
        <v>1556.5896319999993</v>
      </c>
      <c r="H39" s="46">
        <f>D39*C39*12</f>
        <v>47416.11494399998</v>
      </c>
      <c r="I39" s="47"/>
      <c r="J39" s="47">
        <f>H39</f>
        <v>47416.11494399998</v>
      </c>
      <c r="K39" s="43"/>
      <c r="L39" s="43"/>
      <c r="M39" s="43"/>
      <c r="N39" s="43"/>
      <c r="P39" s="44">
        <v>1</v>
      </c>
      <c r="Q39" s="46">
        <f t="shared" si="14"/>
        <v>29575.92</v>
      </c>
      <c r="R39" s="46">
        <v>17924.8</v>
      </c>
      <c r="S39" s="46"/>
      <c r="T39" s="46">
        <f>1792.48+7169.92+2688.72</f>
        <v>11651.119999999999</v>
      </c>
      <c r="U39" s="46">
        <f t="shared" si="16"/>
        <v>354911.04</v>
      </c>
      <c r="V39" s="47"/>
      <c r="W39" s="47">
        <f t="shared" si="15"/>
        <v>354911.04</v>
      </c>
      <c r="AC39" s="44">
        <v>1</v>
      </c>
      <c r="AD39" s="46">
        <f t="shared" si="1"/>
        <v>25624.577088</v>
      </c>
      <c r="AE39" s="46">
        <f>17924.8*86.64/100</f>
        <v>15530.04672</v>
      </c>
      <c r="AF39" s="46"/>
      <c r="AG39" s="46">
        <f>(1792.48+7169.92+2688.72)*86.64/100</f>
        <v>10094.530368</v>
      </c>
      <c r="AH39" s="46">
        <f t="shared" si="12"/>
        <v>307494.925056</v>
      </c>
      <c r="AI39" s="47"/>
      <c r="AJ39" s="47">
        <f t="shared" si="3"/>
        <v>307494.925056</v>
      </c>
    </row>
    <row r="40" spans="1:36" s="40" customFormat="1" ht="12.75">
      <c r="A40" s="44">
        <f t="shared" si="11"/>
        <v>19</v>
      </c>
      <c r="B40" s="45" t="s">
        <v>164</v>
      </c>
      <c r="C40" s="44">
        <v>1</v>
      </c>
      <c r="D40" s="46">
        <f t="shared" si="4"/>
        <v>3304.7282639999994</v>
      </c>
      <c r="E40" s="46">
        <f t="shared" si="5"/>
        <v>2002.8657359999997</v>
      </c>
      <c r="F40" s="46"/>
      <c r="G40" s="46">
        <f t="shared" si="6"/>
        <v>1301.8625279999997</v>
      </c>
      <c r="H40" s="46">
        <f>D40*C40*12</f>
        <v>39656.73916799999</v>
      </c>
      <c r="I40" s="47"/>
      <c r="J40" s="47">
        <f>H40</f>
        <v>39656.73916799999</v>
      </c>
      <c r="K40" s="43"/>
      <c r="L40" s="43"/>
      <c r="M40" s="43"/>
      <c r="N40" s="43"/>
      <c r="P40" s="44">
        <v>1</v>
      </c>
      <c r="Q40" s="46">
        <f t="shared" si="14"/>
        <v>24735.989999999998</v>
      </c>
      <c r="R40" s="46">
        <v>14991.51</v>
      </c>
      <c r="S40" s="46"/>
      <c r="T40" s="46">
        <f>1499.15+5996.6+2248.73</f>
        <v>9744.48</v>
      </c>
      <c r="U40" s="46">
        <f t="shared" si="16"/>
        <v>296831.88</v>
      </c>
      <c r="V40" s="47"/>
      <c r="W40" s="47">
        <f t="shared" si="15"/>
        <v>296831.88</v>
      </c>
      <c r="AC40" s="44">
        <v>1</v>
      </c>
      <c r="AD40" s="46">
        <f t="shared" si="1"/>
        <v>21431.261736</v>
      </c>
      <c r="AE40" s="46">
        <f>14991.51*86.64/100</f>
        <v>12988.644264</v>
      </c>
      <c r="AF40" s="46"/>
      <c r="AG40" s="46">
        <f>(1499.15+5996.6+2248.73)*86.64/100</f>
        <v>8442.617472</v>
      </c>
      <c r="AH40" s="46">
        <f t="shared" si="12"/>
        <v>257175.140832</v>
      </c>
      <c r="AI40" s="47"/>
      <c r="AJ40" s="47">
        <f t="shared" si="3"/>
        <v>257175.140832</v>
      </c>
    </row>
    <row r="41" spans="1:36" s="40" customFormat="1" ht="26.25">
      <c r="A41" s="44">
        <f t="shared" si="11"/>
        <v>20</v>
      </c>
      <c r="B41" s="49" t="s">
        <v>165</v>
      </c>
      <c r="C41" s="44">
        <v>6.75</v>
      </c>
      <c r="D41" s="46">
        <f t="shared" si="4"/>
        <v>4476.847824</v>
      </c>
      <c r="E41" s="46">
        <f t="shared" si="5"/>
        <v>2460.09036</v>
      </c>
      <c r="F41" s="46">
        <f>S41-AF41</f>
        <v>417.69772799999964</v>
      </c>
      <c r="G41" s="46">
        <f t="shared" si="6"/>
        <v>1599.059736000001</v>
      </c>
      <c r="H41" s="46">
        <f>D41*C41*12</f>
        <v>362624.673744</v>
      </c>
      <c r="I41" s="47"/>
      <c r="J41" s="47">
        <f t="shared" si="8"/>
        <v>362624.673744</v>
      </c>
      <c r="K41" s="43"/>
      <c r="L41" s="43"/>
      <c r="M41" s="43"/>
      <c r="N41" s="43"/>
      <c r="P41" s="44">
        <v>6.75</v>
      </c>
      <c r="Q41" s="46">
        <f t="shared" si="14"/>
        <v>33509.34</v>
      </c>
      <c r="R41" s="46">
        <v>18413.85</v>
      </c>
      <c r="S41" s="46">
        <v>3126.48</v>
      </c>
      <c r="T41" s="46">
        <f>1841.39+7365.54+2762.08</f>
        <v>11969.01</v>
      </c>
      <c r="U41" s="46">
        <f>Q41*P41*12-0.06</f>
        <v>2714256.48</v>
      </c>
      <c r="V41" s="47"/>
      <c r="W41" s="47">
        <f>U41</f>
        <v>2714256.48</v>
      </c>
      <c r="AC41" s="44">
        <v>6.75</v>
      </c>
      <c r="AD41" s="46">
        <f t="shared" si="1"/>
        <v>29032.492176</v>
      </c>
      <c r="AE41" s="46">
        <f>18413.85*86.64/100</f>
        <v>15953.759639999998</v>
      </c>
      <c r="AF41" s="46">
        <f>3126.48*86.64/100</f>
        <v>2708.7822720000004</v>
      </c>
      <c r="AG41" s="46">
        <f>11969.01*86.64/100</f>
        <v>10369.950264</v>
      </c>
      <c r="AH41" s="46">
        <f>AD41*AC41*12-0.06</f>
        <v>2351631.806256</v>
      </c>
      <c r="AI41" s="47"/>
      <c r="AJ41" s="47">
        <f t="shared" si="3"/>
        <v>2351631.806256</v>
      </c>
    </row>
    <row r="42" spans="1:36" s="40" customFormat="1" ht="12.75">
      <c r="A42" s="44">
        <f t="shared" si="11"/>
        <v>21</v>
      </c>
      <c r="B42" s="45" t="s">
        <v>166</v>
      </c>
      <c r="C42" s="44">
        <v>1</v>
      </c>
      <c r="D42" s="46">
        <f t="shared" si="4"/>
        <v>4476.847824</v>
      </c>
      <c r="E42" s="46">
        <f t="shared" si="5"/>
        <v>2460.09036</v>
      </c>
      <c r="F42" s="46">
        <f aca="true" t="shared" si="17" ref="F42:F105">S42-AF42</f>
        <v>417.69772799999964</v>
      </c>
      <c r="G42" s="46">
        <f t="shared" si="6"/>
        <v>1599.059736000001</v>
      </c>
      <c r="H42" s="46">
        <f>D42*C42*12</f>
        <v>53722.173888000005</v>
      </c>
      <c r="I42" s="47"/>
      <c r="J42" s="47">
        <f>H42</f>
        <v>53722.173888000005</v>
      </c>
      <c r="K42" s="43"/>
      <c r="L42" s="43"/>
      <c r="M42" s="43"/>
      <c r="N42" s="43"/>
      <c r="P42" s="44">
        <v>1</v>
      </c>
      <c r="Q42" s="46">
        <f t="shared" si="14"/>
        <v>33509.34</v>
      </c>
      <c r="R42" s="46">
        <v>18413.85</v>
      </c>
      <c r="S42" s="46">
        <v>3126.48</v>
      </c>
      <c r="T42" s="46">
        <f>1841.39+7365.54+2762.08</f>
        <v>11969.01</v>
      </c>
      <c r="U42" s="46">
        <f t="shared" si="16"/>
        <v>402112.07999999996</v>
      </c>
      <c r="V42" s="47"/>
      <c r="W42" s="47">
        <f t="shared" si="15"/>
        <v>402112.07999999996</v>
      </c>
      <c r="AC42" s="44">
        <v>1</v>
      </c>
      <c r="AD42" s="46">
        <f t="shared" si="1"/>
        <v>29032.492176</v>
      </c>
      <c r="AE42" s="46">
        <f>18413.85*86.64/100</f>
        <v>15953.759639999998</v>
      </c>
      <c r="AF42" s="46">
        <f>3126.48*86.64/100</f>
        <v>2708.7822720000004</v>
      </c>
      <c r="AG42" s="46">
        <f>(1841.39+7365.54+2762.08)*86.64/100</f>
        <v>10369.950264</v>
      </c>
      <c r="AH42" s="46">
        <f>AD42*AC42*12</f>
        <v>348389.906112</v>
      </c>
      <c r="AI42" s="47"/>
      <c r="AJ42" s="47">
        <f t="shared" si="3"/>
        <v>348389.906112</v>
      </c>
    </row>
    <row r="43" spans="1:36" s="40" customFormat="1" ht="12.75" customHeight="1" hidden="1">
      <c r="A43" s="72" t="s">
        <v>81</v>
      </c>
      <c r="B43" s="73"/>
      <c r="C43" s="74"/>
      <c r="D43" s="44" t="s">
        <v>3</v>
      </c>
      <c r="E43" s="44" t="s">
        <v>3</v>
      </c>
      <c r="F43" s="46">
        <f t="shared" si="17"/>
        <v>0</v>
      </c>
      <c r="G43" s="48"/>
      <c r="H43" s="48"/>
      <c r="I43" s="48"/>
      <c r="J43" s="48"/>
      <c r="K43" s="48"/>
      <c r="L43" s="48"/>
      <c r="Q43" s="44" t="s">
        <v>3</v>
      </c>
      <c r="R43" s="44" t="s">
        <v>3</v>
      </c>
      <c r="S43" s="48"/>
      <c r="T43" s="48"/>
      <c r="U43" s="48"/>
      <c r="V43" s="48"/>
      <c r="W43" s="48"/>
      <c r="AC43" s="44">
        <v>2</v>
      </c>
      <c r="AD43" s="46">
        <f aca="true" t="shared" si="18" ref="AD43:AD49">AE43+AG43</f>
        <v>25542.91555555</v>
      </c>
      <c r="AE43" s="46">
        <v>15480.56</v>
      </c>
      <c r="AF43" s="46"/>
      <c r="AG43" s="46">
        <v>10062.35555555</v>
      </c>
      <c r="AH43" s="46">
        <f>AC43*AD43*12-0.02</f>
        <v>613029.9533332</v>
      </c>
      <c r="AI43" s="47"/>
      <c r="AJ43" s="47"/>
    </row>
    <row r="44" spans="6:36" s="40" customFormat="1" ht="12.75" customHeight="1" hidden="1">
      <c r="F44" s="46">
        <f t="shared" si="17"/>
        <v>0</v>
      </c>
      <c r="AC44" s="44">
        <v>2</v>
      </c>
      <c r="AD44" s="46">
        <f t="shared" si="18"/>
        <v>29575.92</v>
      </c>
      <c r="AE44" s="46">
        <v>17924.8</v>
      </c>
      <c r="AF44" s="46"/>
      <c r="AG44" s="46">
        <f>1792.48+7169.92+2688.72</f>
        <v>11651.119999999999</v>
      </c>
      <c r="AH44" s="46">
        <f>AC44*AD44*12-0.04</f>
        <v>709822.0399999999</v>
      </c>
      <c r="AI44" s="47"/>
      <c r="AJ44" s="47"/>
    </row>
    <row r="45" spans="6:36" s="40" customFormat="1" ht="12.75" customHeight="1" hidden="1">
      <c r="F45" s="46">
        <f t="shared" si="17"/>
        <v>0</v>
      </c>
      <c r="AC45" s="44">
        <v>1</v>
      </c>
      <c r="AD45" s="46">
        <f t="shared" si="18"/>
        <v>18820.15</v>
      </c>
      <c r="AE45" s="46">
        <v>11406.15</v>
      </c>
      <c r="AF45" s="46"/>
      <c r="AG45" s="46">
        <f>1140.62+4562.46+1710.92</f>
        <v>7414</v>
      </c>
      <c r="AH45" s="46">
        <f>AC45*AD45*12-0.01</f>
        <v>225841.79</v>
      </c>
      <c r="AI45" s="47"/>
      <c r="AJ45" s="47"/>
    </row>
    <row r="46" spans="6:36" s="40" customFormat="1" ht="12.75" customHeight="1" hidden="1">
      <c r="F46" s="46">
        <f t="shared" si="17"/>
        <v>0</v>
      </c>
      <c r="AC46" s="44">
        <v>1</v>
      </c>
      <c r="AD46" s="46">
        <f t="shared" si="18"/>
        <v>22316.84</v>
      </c>
      <c r="AE46" s="46">
        <v>13525.36</v>
      </c>
      <c r="AF46" s="46"/>
      <c r="AG46" s="46">
        <f>1352.54+5410.14+2028.8</f>
        <v>8791.48</v>
      </c>
      <c r="AH46" s="46">
        <f>AC46*AD46*12+0.09</f>
        <v>267802.17000000004</v>
      </c>
      <c r="AI46" s="47"/>
      <c r="AJ46" s="47"/>
    </row>
    <row r="47" spans="6:36" s="40" customFormat="1" ht="12.75" customHeight="1" hidden="1">
      <c r="F47" s="46">
        <f t="shared" si="17"/>
        <v>0</v>
      </c>
      <c r="AC47" s="44">
        <v>0.5</v>
      </c>
      <c r="AD47" s="46">
        <f t="shared" si="18"/>
        <v>24736</v>
      </c>
      <c r="AE47" s="46">
        <v>14991.51</v>
      </c>
      <c r="AF47" s="46"/>
      <c r="AG47" s="46">
        <v>9744.49</v>
      </c>
      <c r="AH47" s="46">
        <f>AC47*AD47*12+0.09</f>
        <v>148416.09</v>
      </c>
      <c r="AI47" s="47"/>
      <c r="AJ47" s="47"/>
    </row>
    <row r="48" spans="6:36" s="40" customFormat="1" ht="12.75" customHeight="1" hidden="1">
      <c r="F48" s="46">
        <f t="shared" si="17"/>
        <v>0</v>
      </c>
      <c r="AC48" s="44">
        <v>1</v>
      </c>
      <c r="AD48" s="46">
        <f t="shared" si="18"/>
        <v>16401</v>
      </c>
      <c r="AE48" s="46">
        <v>9940</v>
      </c>
      <c r="AF48" s="46"/>
      <c r="AG48" s="46">
        <f>994+3976+1491</f>
        <v>6461</v>
      </c>
      <c r="AH48" s="46">
        <f>AC48*AD48*12</f>
        <v>196812</v>
      </c>
      <c r="AI48" s="47"/>
      <c r="AJ48" s="47"/>
    </row>
    <row r="49" spans="6:36" s="40" customFormat="1" ht="12.75" customHeight="1" hidden="1">
      <c r="F49" s="46">
        <f t="shared" si="17"/>
        <v>0</v>
      </c>
      <c r="AC49" s="44">
        <v>0.5</v>
      </c>
      <c r="AD49" s="46">
        <f t="shared" si="18"/>
        <v>17207.93</v>
      </c>
      <c r="AE49" s="46">
        <v>10429.05</v>
      </c>
      <c r="AF49" s="46"/>
      <c r="AG49" s="46">
        <f>3389.44*2</f>
        <v>6778.88</v>
      </c>
      <c r="AH49" s="46">
        <f>AC49*AD49*12</f>
        <v>103247.58</v>
      </c>
      <c r="AI49" s="47"/>
      <c r="AJ49" s="47"/>
    </row>
    <row r="50" spans="6:36" s="40" customFormat="1" ht="12.75" customHeight="1" hidden="1">
      <c r="F50" s="46">
        <f t="shared" si="17"/>
        <v>-3126.48</v>
      </c>
      <c r="AC50" s="44">
        <v>1</v>
      </c>
      <c r="AD50" s="46">
        <f>AE50+AF50+AG50</f>
        <v>33509.34</v>
      </c>
      <c r="AE50" s="46">
        <v>18413.85</v>
      </c>
      <c r="AF50" s="46">
        <f>3126.48</f>
        <v>3126.48</v>
      </c>
      <c r="AG50" s="46">
        <f>(1841.39+7365.54+2762.08)</f>
        <v>11969.01</v>
      </c>
      <c r="AH50" s="46">
        <f>AD50*AC50*12</f>
        <v>402112.07999999996</v>
      </c>
      <c r="AI50" s="47"/>
      <c r="AJ50" s="47"/>
    </row>
    <row r="51" spans="6:36" s="40" customFormat="1" ht="12.75" customHeight="1" hidden="1">
      <c r="F51" s="46">
        <f t="shared" si="17"/>
        <v>-582.35</v>
      </c>
      <c r="AC51" s="44">
        <v>20</v>
      </c>
      <c r="AD51" s="46">
        <f>AE51+AF51</f>
        <v>6293.610000000001</v>
      </c>
      <c r="AE51" s="46">
        <v>5711.26</v>
      </c>
      <c r="AF51" s="46">
        <v>582.35</v>
      </c>
      <c r="AG51" s="46"/>
      <c r="AH51" s="46">
        <f>AC51*AD51</f>
        <v>125872.20000000001</v>
      </c>
      <c r="AI51" s="47"/>
      <c r="AJ51" s="47"/>
    </row>
    <row r="52" spans="6:36" s="40" customFormat="1" ht="12.75" customHeight="1" hidden="1">
      <c r="F52" s="46">
        <f t="shared" si="17"/>
        <v>-10092.274592000002</v>
      </c>
      <c r="AC52" s="50">
        <f aca="true" t="shared" si="19" ref="AC52:AH52">SUM(AC22:AC51)</f>
        <v>64</v>
      </c>
      <c r="AD52" s="51">
        <f t="shared" si="19"/>
        <v>785306.7814435503</v>
      </c>
      <c r="AE52" s="51">
        <f t="shared" si="19"/>
        <v>472072.41929999995</v>
      </c>
      <c r="AF52" s="51">
        <f t="shared" si="19"/>
        <v>10092.274592000002</v>
      </c>
      <c r="AG52" s="51">
        <f t="shared" si="19"/>
        <v>303142.08755155</v>
      </c>
      <c r="AH52" s="51">
        <f t="shared" si="19"/>
        <v>13277107.043925198</v>
      </c>
      <c r="AI52" s="50"/>
      <c r="AJ52" s="51">
        <f>SUM(AJ22:AJ51)</f>
        <v>10484151.140592001</v>
      </c>
    </row>
    <row r="53" s="40" customFormat="1" ht="12.75" customHeight="1" hidden="1">
      <c r="F53" s="46">
        <f t="shared" si="17"/>
        <v>0</v>
      </c>
    </row>
    <row r="54" s="40" customFormat="1" ht="12.75" customHeight="1" hidden="1">
      <c r="F54" s="46">
        <f t="shared" si="17"/>
        <v>0</v>
      </c>
    </row>
    <row r="55" s="40" customFormat="1" ht="12.75" customHeight="1" hidden="1">
      <c r="F55" s="46">
        <f t="shared" si="17"/>
        <v>0</v>
      </c>
    </row>
    <row r="56" s="40" customFormat="1" ht="12.75" customHeight="1" hidden="1">
      <c r="F56" s="46">
        <f t="shared" si="17"/>
        <v>0</v>
      </c>
    </row>
    <row r="57" spans="6:36" s="40" customFormat="1" ht="12.75" customHeight="1" hidden="1">
      <c r="F57" s="46">
        <f t="shared" si="17"/>
        <v>0</v>
      </c>
      <c r="AJ57" s="48"/>
    </row>
    <row r="58" spans="6:36" s="40" customFormat="1" ht="12.75" customHeight="1" hidden="1">
      <c r="F58" s="46" t="e">
        <f t="shared" si="17"/>
        <v>#VALUE!</v>
      </c>
      <c r="AE58" s="50" t="s">
        <v>274</v>
      </c>
      <c r="AF58" s="50" t="s">
        <v>275</v>
      </c>
      <c r="AG58" s="50" t="s">
        <v>276</v>
      </c>
      <c r="AH58" s="50" t="s">
        <v>277</v>
      </c>
      <c r="AI58" s="50" t="s">
        <v>278</v>
      </c>
      <c r="AJ58" s="48">
        <v>211</v>
      </c>
    </row>
    <row r="59" spans="6:36" s="40" customFormat="1" ht="12.75" customHeight="1" hidden="1">
      <c r="F59" s="46">
        <f t="shared" si="17"/>
        <v>-111</v>
      </c>
      <c r="AE59" s="43">
        <v>211</v>
      </c>
      <c r="AF59" s="43">
        <v>111</v>
      </c>
      <c r="AG59" s="47">
        <f>AJ52</f>
        <v>10484151.140592001</v>
      </c>
      <c r="AH59" s="43"/>
      <c r="AI59" s="47">
        <f>AN52</f>
        <v>0</v>
      </c>
      <c r="AJ59" s="48">
        <v>213</v>
      </c>
    </row>
    <row r="60" spans="6:36" s="40" customFormat="1" ht="12.75" customHeight="1" hidden="1">
      <c r="F60" s="46">
        <f t="shared" si="17"/>
        <v>-112</v>
      </c>
      <c r="AE60" s="43">
        <v>266</v>
      </c>
      <c r="AF60" s="43">
        <v>112</v>
      </c>
      <c r="AG60" s="43"/>
      <c r="AH60" s="43"/>
      <c r="AI60" s="52">
        <f>'[1]Лист2'!DE26</f>
        <v>0</v>
      </c>
      <c r="AJ60" s="48">
        <v>291</v>
      </c>
    </row>
    <row r="61" spans="6:36" s="40" customFormat="1" ht="12.75" customHeight="1" hidden="1">
      <c r="F61" s="46">
        <f t="shared" si="17"/>
        <v>-119</v>
      </c>
      <c r="AE61" s="43">
        <v>213</v>
      </c>
      <c r="AF61" s="43">
        <v>119</v>
      </c>
      <c r="AG61" s="47">
        <f>'[1]Лист2'!DA86</f>
        <v>0</v>
      </c>
      <c r="AH61" s="43"/>
      <c r="AI61" s="47">
        <f>'[1]Лист2'!DE86</f>
        <v>0</v>
      </c>
      <c r="AJ61" s="48">
        <v>221</v>
      </c>
    </row>
    <row r="62" spans="6:36" s="40" customFormat="1" ht="12.75" customHeight="1" hidden="1">
      <c r="F62" s="46">
        <f t="shared" si="17"/>
        <v>-853</v>
      </c>
      <c r="AE62" s="43">
        <v>291</v>
      </c>
      <c r="AF62" s="43">
        <v>853</v>
      </c>
      <c r="AG62" s="43"/>
      <c r="AH62" s="43"/>
      <c r="AI62" s="47">
        <f>'[1]Лист3'!DH24</f>
        <v>0</v>
      </c>
      <c r="AJ62" s="48">
        <v>222</v>
      </c>
    </row>
    <row r="63" spans="6:36" s="40" customFormat="1" ht="12.75" customHeight="1" hidden="1">
      <c r="F63" s="46">
        <f t="shared" si="17"/>
        <v>-244</v>
      </c>
      <c r="AE63" s="43">
        <v>221</v>
      </c>
      <c r="AF63" s="43">
        <v>244</v>
      </c>
      <c r="AG63" s="47">
        <f>'[1]Лист6'!DD15</f>
        <v>0</v>
      </c>
      <c r="AH63" s="43"/>
      <c r="AI63" s="47">
        <f>'[1]Лист6'!DH15</f>
        <v>0</v>
      </c>
      <c r="AJ63" s="48">
        <v>223</v>
      </c>
    </row>
    <row r="64" spans="6:36" s="40" customFormat="1" ht="12.75" customHeight="1" hidden="1">
      <c r="F64" s="46">
        <f t="shared" si="17"/>
        <v>-244</v>
      </c>
      <c r="AE64" s="43">
        <v>222</v>
      </c>
      <c r="AF64" s="43">
        <v>244</v>
      </c>
      <c r="AG64" s="47">
        <f>'[1]Лист6'!DD35</f>
        <v>0</v>
      </c>
      <c r="AH64" s="43"/>
      <c r="AI64" s="47">
        <f>'[1]Лист6'!DH35</f>
        <v>0</v>
      </c>
      <c r="AJ64" s="48">
        <v>225</v>
      </c>
    </row>
    <row r="65" spans="6:36" s="40" customFormat="1" ht="12.75" customHeight="1" hidden="1">
      <c r="F65" s="46">
        <f t="shared" si="17"/>
        <v>-244</v>
      </c>
      <c r="AE65" s="43">
        <v>223</v>
      </c>
      <c r="AF65" s="43">
        <v>244</v>
      </c>
      <c r="AG65" s="47">
        <f>'[1]Лист6'!DD60</f>
        <v>0</v>
      </c>
      <c r="AH65" s="43"/>
      <c r="AI65" s="47">
        <f>'[1]Лист6'!DH60</f>
        <v>0</v>
      </c>
      <c r="AJ65" s="48">
        <v>226</v>
      </c>
    </row>
    <row r="66" spans="6:36" s="40" customFormat="1" ht="12.75" customHeight="1" hidden="1">
      <c r="F66" s="46">
        <f t="shared" si="17"/>
        <v>-244</v>
      </c>
      <c r="AE66" s="43">
        <v>225</v>
      </c>
      <c r="AF66" s="43">
        <v>244</v>
      </c>
      <c r="AG66" s="47">
        <f>'[1]Лист7'!DD35</f>
        <v>0</v>
      </c>
      <c r="AH66" s="47">
        <f>'[1]Лист7'!DG35</f>
        <v>0</v>
      </c>
      <c r="AI66" s="47">
        <f>'[1]Лист7'!DH35</f>
        <v>0</v>
      </c>
      <c r="AJ66" s="48">
        <v>310</v>
      </c>
    </row>
    <row r="67" spans="6:36" s="40" customFormat="1" ht="12.75" customHeight="1" hidden="1">
      <c r="F67" s="46">
        <f t="shared" si="17"/>
        <v>-244</v>
      </c>
      <c r="AE67" s="43">
        <v>226</v>
      </c>
      <c r="AF67" s="43">
        <v>244</v>
      </c>
      <c r="AG67" s="47">
        <f>'[1]Лист7'!DD85</f>
        <v>0</v>
      </c>
      <c r="AH67" s="43"/>
      <c r="AI67" s="47">
        <f>'[1]Лист7'!DH85</f>
        <v>0</v>
      </c>
      <c r="AJ67" s="48">
        <v>341</v>
      </c>
    </row>
    <row r="68" spans="6:36" s="40" customFormat="1" ht="12.75" customHeight="1" hidden="1">
      <c r="F68" s="46">
        <f t="shared" si="17"/>
        <v>-244</v>
      </c>
      <c r="AE68" s="43">
        <v>310</v>
      </c>
      <c r="AF68" s="43">
        <v>244</v>
      </c>
      <c r="AG68" s="43"/>
      <c r="AH68" s="47">
        <f>'[1]Лист7'!DF114</f>
        <v>0</v>
      </c>
      <c r="AI68" s="47">
        <f>'[1]Лист7'!DH114</f>
        <v>0</v>
      </c>
      <c r="AJ68" s="48">
        <v>342</v>
      </c>
    </row>
    <row r="69" spans="6:36" s="40" customFormat="1" ht="12.75" customHeight="1" hidden="1">
      <c r="F69" s="46">
        <f t="shared" si="17"/>
        <v>-244</v>
      </c>
      <c r="AE69" s="43">
        <v>341</v>
      </c>
      <c r="AF69" s="43">
        <v>244</v>
      </c>
      <c r="AG69" s="52">
        <f>'[1]Лист7'!DD124</f>
        <v>0</v>
      </c>
      <c r="AH69" s="43"/>
      <c r="AI69" s="43"/>
      <c r="AJ69" s="48">
        <v>345</v>
      </c>
    </row>
    <row r="70" spans="6:36" s="40" customFormat="1" ht="12.75" customHeight="1" hidden="1">
      <c r="F70" s="46">
        <f t="shared" si="17"/>
        <v>-244</v>
      </c>
      <c r="AE70" s="43">
        <v>342</v>
      </c>
      <c r="AF70" s="43">
        <v>244</v>
      </c>
      <c r="AG70" s="43"/>
      <c r="AH70" s="43"/>
      <c r="AI70" s="47">
        <f>'[1]Лист7'!DH131</f>
        <v>0</v>
      </c>
      <c r="AJ70" s="48">
        <v>346</v>
      </c>
    </row>
    <row r="71" spans="6:36" s="40" customFormat="1" ht="12.75" customHeight="1" hidden="1">
      <c r="F71" s="46">
        <f t="shared" si="17"/>
        <v>-244</v>
      </c>
      <c r="AE71" s="43">
        <v>345</v>
      </c>
      <c r="AF71" s="43">
        <v>244</v>
      </c>
      <c r="AG71" s="47">
        <f>'[1]Лист7'!DD133</f>
        <v>0</v>
      </c>
      <c r="AH71" s="43"/>
      <c r="AI71" s="43"/>
      <c r="AJ71" s="48">
        <v>347</v>
      </c>
    </row>
    <row r="72" spans="6:36" s="40" customFormat="1" ht="12.75" customHeight="1" hidden="1">
      <c r="F72" s="46">
        <f t="shared" si="17"/>
        <v>-244</v>
      </c>
      <c r="AE72" s="43">
        <v>346</v>
      </c>
      <c r="AF72" s="43">
        <v>244</v>
      </c>
      <c r="AG72" s="47">
        <f>'[1]Лист7'!DD156</f>
        <v>0</v>
      </c>
      <c r="AH72" s="43"/>
      <c r="AI72" s="43">
        <f>'[1]Лист7'!DH156</f>
        <v>0</v>
      </c>
      <c r="AJ72" s="48">
        <v>349</v>
      </c>
    </row>
    <row r="73" spans="6:36" s="40" customFormat="1" ht="12.75" customHeight="1" hidden="1">
      <c r="F73" s="46">
        <f t="shared" si="17"/>
        <v>-244</v>
      </c>
      <c r="AE73" s="43">
        <v>347</v>
      </c>
      <c r="AF73" s="43">
        <v>244</v>
      </c>
      <c r="AG73" s="47">
        <f>'[1]Лист8'!DD38</f>
        <v>0</v>
      </c>
      <c r="AH73" s="43"/>
      <c r="AI73" s="47">
        <f>'[1]Лист8'!DH38</f>
        <v>0</v>
      </c>
      <c r="AJ73" s="48">
        <v>266</v>
      </c>
    </row>
    <row r="74" spans="6:36" s="40" customFormat="1" ht="12.75" customHeight="1" hidden="1">
      <c r="F74" s="46">
        <f t="shared" si="17"/>
        <v>-244</v>
      </c>
      <c r="AE74" s="43">
        <v>349</v>
      </c>
      <c r="AF74" s="43">
        <v>244</v>
      </c>
      <c r="AG74" s="43"/>
      <c r="AH74" s="43"/>
      <c r="AI74" s="52">
        <f>'[1]Лист7'!DH173</f>
        <v>0</v>
      </c>
      <c r="AJ74" s="48"/>
    </row>
    <row r="75" spans="6:36" s="40" customFormat="1" ht="12.75" customHeight="1" hidden="1">
      <c r="F75" s="46">
        <f t="shared" si="17"/>
        <v>0</v>
      </c>
      <c r="AE75" s="43"/>
      <c r="AF75" s="43"/>
      <c r="AG75" s="51">
        <f>SUM(AG59:AG74)</f>
        <v>10484151.140592001</v>
      </c>
      <c r="AH75" s="50">
        <f>SUM(AH59:AH74)</f>
        <v>0</v>
      </c>
      <c r="AI75" s="51">
        <f>SUM(AI59:AI74)</f>
        <v>0</v>
      </c>
      <c r="AJ75" s="51">
        <f>SUM(AJ59:AJ74)</f>
        <v>4267</v>
      </c>
    </row>
    <row r="76" s="40" customFormat="1" ht="12.75" customHeight="1" hidden="1">
      <c r="F76" s="46">
        <f t="shared" si="17"/>
        <v>0</v>
      </c>
    </row>
    <row r="77" spans="6:36" s="40" customFormat="1" ht="12.75" customHeight="1" hidden="1">
      <c r="F77" s="46">
        <f t="shared" si="17"/>
        <v>0</v>
      </c>
      <c r="AJ77" s="48">
        <v>211</v>
      </c>
    </row>
    <row r="78" spans="6:36" s="40" customFormat="1" ht="12.75" customHeight="1" hidden="1">
      <c r="F78" s="46">
        <f t="shared" si="17"/>
        <v>0</v>
      </c>
      <c r="AJ78" s="48">
        <v>213</v>
      </c>
    </row>
    <row r="79" spans="6:36" s="40" customFormat="1" ht="12.75" customHeight="1" hidden="1">
      <c r="F79" s="46">
        <f t="shared" si="17"/>
        <v>0</v>
      </c>
      <c r="AJ79" s="48">
        <v>291</v>
      </c>
    </row>
    <row r="80" spans="6:36" s="40" customFormat="1" ht="12.75" customHeight="1" hidden="1">
      <c r="F80" s="46">
        <f t="shared" si="17"/>
        <v>0</v>
      </c>
      <c r="AJ80" s="48">
        <v>221</v>
      </c>
    </row>
    <row r="81" spans="6:36" s="40" customFormat="1" ht="12.75" customHeight="1" hidden="1">
      <c r="F81" s="46">
        <f t="shared" si="17"/>
        <v>0</v>
      </c>
      <c r="AJ81" s="48">
        <v>222</v>
      </c>
    </row>
    <row r="82" spans="6:36" s="40" customFormat="1" ht="12.75" customHeight="1" hidden="1">
      <c r="F82" s="46">
        <f t="shared" si="17"/>
        <v>0</v>
      </c>
      <c r="AJ82" s="48">
        <v>223</v>
      </c>
    </row>
    <row r="83" spans="6:36" s="40" customFormat="1" ht="12.75" customHeight="1" hidden="1">
      <c r="F83" s="46">
        <f t="shared" si="17"/>
        <v>0</v>
      </c>
      <c r="AJ83" s="48">
        <v>225</v>
      </c>
    </row>
    <row r="84" spans="6:36" s="40" customFormat="1" ht="12.75" customHeight="1" hidden="1">
      <c r="F84" s="46">
        <f t="shared" si="17"/>
        <v>0</v>
      </c>
      <c r="AJ84" s="48">
        <v>226</v>
      </c>
    </row>
    <row r="85" spans="6:36" s="40" customFormat="1" ht="12.75" customHeight="1" hidden="1">
      <c r="F85" s="46">
        <f t="shared" si="17"/>
        <v>0</v>
      </c>
      <c r="AJ85" s="48">
        <v>310</v>
      </c>
    </row>
    <row r="86" spans="6:36" s="40" customFormat="1" ht="12.75" customHeight="1" hidden="1">
      <c r="F86" s="46">
        <f t="shared" si="17"/>
        <v>0</v>
      </c>
      <c r="AJ86" s="48">
        <v>341</v>
      </c>
    </row>
    <row r="87" spans="6:36" s="40" customFormat="1" ht="12.75" customHeight="1" hidden="1">
      <c r="F87" s="46">
        <f t="shared" si="17"/>
        <v>0</v>
      </c>
      <c r="AJ87" s="48">
        <v>342</v>
      </c>
    </row>
    <row r="88" spans="6:36" s="40" customFormat="1" ht="12.75" customHeight="1" hidden="1">
      <c r="F88" s="46">
        <f t="shared" si="17"/>
        <v>0</v>
      </c>
      <c r="AJ88" s="48">
        <v>345</v>
      </c>
    </row>
    <row r="89" spans="6:36" s="40" customFormat="1" ht="12.75" customHeight="1" hidden="1">
      <c r="F89" s="46">
        <f t="shared" si="17"/>
        <v>0</v>
      </c>
      <c r="AJ89" s="48">
        <v>346</v>
      </c>
    </row>
    <row r="90" spans="6:36" s="40" customFormat="1" ht="12.75" customHeight="1" hidden="1">
      <c r="F90" s="46">
        <f t="shared" si="17"/>
        <v>0</v>
      </c>
      <c r="AJ90" s="48">
        <v>347</v>
      </c>
    </row>
    <row r="91" spans="6:36" s="40" customFormat="1" ht="12.75" customHeight="1" hidden="1">
      <c r="F91" s="46">
        <f t="shared" si="17"/>
        <v>0</v>
      </c>
      <c r="AJ91" s="48">
        <v>349</v>
      </c>
    </row>
    <row r="92" spans="6:36" s="40" customFormat="1" ht="12.75" customHeight="1" hidden="1">
      <c r="F92" s="46">
        <f t="shared" si="17"/>
        <v>0</v>
      </c>
      <c r="AJ92" s="48">
        <v>266</v>
      </c>
    </row>
    <row r="93" spans="6:36" s="40" customFormat="1" ht="12.75" customHeight="1" hidden="1">
      <c r="F93" s="46">
        <f t="shared" si="17"/>
        <v>0</v>
      </c>
      <c r="AJ93" s="48"/>
    </row>
    <row r="94" s="40" customFormat="1" ht="12.75" customHeight="1" hidden="1">
      <c r="F94" s="46">
        <f t="shared" si="17"/>
        <v>0</v>
      </c>
    </row>
    <row r="95" s="40" customFormat="1" ht="12.75" customHeight="1" hidden="1">
      <c r="F95" s="46">
        <f t="shared" si="17"/>
        <v>0</v>
      </c>
    </row>
    <row r="96" s="40" customFormat="1" ht="12.75" customHeight="1" hidden="1">
      <c r="F96" s="46">
        <f t="shared" si="17"/>
        <v>0</v>
      </c>
    </row>
    <row r="97" s="40" customFormat="1" ht="12.75" customHeight="1" hidden="1">
      <c r="F97" s="46">
        <f t="shared" si="17"/>
        <v>0</v>
      </c>
    </row>
    <row r="98" s="40" customFormat="1" ht="12.75" customHeight="1" hidden="1">
      <c r="F98" s="46">
        <f t="shared" si="17"/>
        <v>0</v>
      </c>
    </row>
    <row r="99" s="40" customFormat="1" ht="12.75" customHeight="1" hidden="1">
      <c r="F99" s="46">
        <f t="shared" si="17"/>
        <v>0</v>
      </c>
    </row>
    <row r="100" s="40" customFormat="1" ht="12.75" customHeight="1" hidden="1">
      <c r="F100" s="46">
        <f t="shared" si="17"/>
        <v>0</v>
      </c>
    </row>
    <row r="101" s="40" customFormat="1" ht="12.75" customHeight="1" hidden="1">
      <c r="F101" s="46">
        <f t="shared" si="17"/>
        <v>0</v>
      </c>
    </row>
    <row r="102" s="40" customFormat="1" ht="12.75" customHeight="1" hidden="1">
      <c r="F102" s="46">
        <f t="shared" si="17"/>
        <v>0</v>
      </c>
    </row>
    <row r="103" s="40" customFormat="1" ht="12.75" customHeight="1" hidden="1">
      <c r="F103" s="46">
        <f t="shared" si="17"/>
        <v>0</v>
      </c>
    </row>
    <row r="104" s="40" customFormat="1" ht="12.75" customHeight="1" hidden="1">
      <c r="F104" s="46">
        <f t="shared" si="17"/>
        <v>0</v>
      </c>
    </row>
    <row r="105" s="40" customFormat="1" ht="12.75" customHeight="1" hidden="1">
      <c r="F105" s="46">
        <f t="shared" si="17"/>
        <v>0</v>
      </c>
    </row>
    <row r="106" s="40" customFormat="1" ht="12.75" customHeight="1" hidden="1">
      <c r="F106" s="46">
        <f>S106-AF106</f>
        <v>0</v>
      </c>
    </row>
    <row r="107" s="40" customFormat="1" ht="12.75" customHeight="1" hidden="1">
      <c r="F107" s="46">
        <f>S107-AF107</f>
        <v>0</v>
      </c>
    </row>
    <row r="108" s="40" customFormat="1" ht="12.75" customHeight="1" hidden="1">
      <c r="F108" s="46">
        <f>S108-AF108</f>
        <v>0</v>
      </c>
    </row>
    <row r="109" s="40" customFormat="1" ht="12.75" customHeight="1" hidden="1">
      <c r="F109" s="46">
        <f>S109-AF109</f>
        <v>0</v>
      </c>
    </row>
    <row r="110" s="40" customFormat="1" ht="12.75" customHeight="1" hidden="1">
      <c r="F110" s="46">
        <f>S110-AF110</f>
        <v>0</v>
      </c>
    </row>
    <row r="111" spans="1:36" s="40" customFormat="1" ht="12.75">
      <c r="A111" s="71" t="s">
        <v>192</v>
      </c>
      <c r="B111" s="71"/>
      <c r="C111" s="50">
        <f>SUM(C22:C42)</f>
        <v>35</v>
      </c>
      <c r="D111" s="51">
        <f>SUM(D22:D42)</f>
        <v>91071.00411199994</v>
      </c>
      <c r="E111" s="51">
        <f>SUM(E22:E42)</f>
        <v>54602.41069999997</v>
      </c>
      <c r="F111" s="51">
        <f>SUM(F22:F42)</f>
        <v>984.3354079999992</v>
      </c>
      <c r="G111" s="51">
        <f>SUM(G22:G110)</f>
        <v>35484.25800399998</v>
      </c>
      <c r="H111" s="51">
        <f>SUM(H22:H110)</f>
        <v>1616105.619408</v>
      </c>
      <c r="I111" s="50"/>
      <c r="J111" s="51">
        <f>SUM(J22:J110)</f>
        <v>1616105.619408</v>
      </c>
      <c r="K111" s="50"/>
      <c r="L111" s="50"/>
      <c r="M111" s="50"/>
      <c r="N111" s="51"/>
      <c r="P111" s="50">
        <f>SUM(P22:P42)</f>
        <v>35</v>
      </c>
      <c r="Q111" s="51">
        <f>SUM(Q22:Q110)</f>
        <v>681974.08</v>
      </c>
      <c r="R111" s="51">
        <f>SUM(R22:R110)</f>
        <v>408852.29</v>
      </c>
      <c r="S111" s="51">
        <f>SUM(S22:S110)</f>
        <v>7367.780000000001</v>
      </c>
      <c r="T111" s="51">
        <f>SUM(T22:T110)</f>
        <v>265754.01</v>
      </c>
      <c r="U111" s="51">
        <f>SUM(U22:U110)</f>
        <v>12100256.760000002</v>
      </c>
      <c r="V111" s="50"/>
      <c r="W111" s="51">
        <f>SUM(W22:W110)</f>
        <v>12100256.760000002</v>
      </c>
      <c r="AJ111" s="53">
        <f>SUM(AJ22:AJ42)</f>
        <v>10484151.140592001</v>
      </c>
    </row>
    <row r="112" s="40" customFormat="1" ht="12.75"/>
    <row r="113" spans="34:36" s="40" customFormat="1" ht="12.75">
      <c r="AH113" s="54">
        <f>AJ41+J41</f>
        <v>2714256.48</v>
      </c>
      <c r="AJ113" s="54">
        <f>AJ111+J111</f>
        <v>12100256.760000002</v>
      </c>
    </row>
    <row r="114" spans="3:13" s="40" customFormat="1" ht="12.75">
      <c r="C114" s="48"/>
      <c r="D114" s="50">
        <v>4</v>
      </c>
      <c r="E114" s="50">
        <v>5</v>
      </c>
      <c r="F114" s="50">
        <v>2</v>
      </c>
      <c r="G114" s="48"/>
      <c r="M114" s="54">
        <f>J111+'[1]Лист1'!$J$52</f>
        <v>12100256.760000002</v>
      </c>
    </row>
    <row r="115" spans="3:7" s="40" customFormat="1" ht="12.75">
      <c r="C115" s="48">
        <v>211</v>
      </c>
      <c r="D115" s="55">
        <f>J111</f>
        <v>1616105.619408</v>
      </c>
      <c r="E115" s="55"/>
      <c r="F115" s="55"/>
      <c r="G115" s="55">
        <f>D115+E115+F115</f>
        <v>1616105.619408</v>
      </c>
    </row>
    <row r="116" spans="3:7" s="40" customFormat="1" ht="12.75">
      <c r="C116" s="48">
        <v>213</v>
      </c>
      <c r="D116" s="55">
        <f>Лист2!CA94</f>
        <v>450027.06972</v>
      </c>
      <c r="E116" s="55"/>
      <c r="F116" s="55"/>
      <c r="G116" s="55">
        <f aca="true" t="shared" si="20" ref="G116:G128">D116+E116+F116</f>
        <v>450027.06972</v>
      </c>
    </row>
    <row r="117" spans="3:7" s="40" customFormat="1" ht="12.75">
      <c r="C117" s="48">
        <v>221</v>
      </c>
      <c r="D117" s="55">
        <f>Лист6!CD13</f>
        <v>63272.168</v>
      </c>
      <c r="E117" s="48"/>
      <c r="F117" s="48"/>
      <c r="G117" s="55">
        <f t="shared" si="20"/>
        <v>63272.168</v>
      </c>
    </row>
    <row r="118" spans="3:7" s="40" customFormat="1" ht="12.75">
      <c r="C118" s="48">
        <v>222</v>
      </c>
      <c r="D118" s="55">
        <f>Лист6!CD40</f>
        <v>66650</v>
      </c>
      <c r="E118" s="48"/>
      <c r="F118" s="48"/>
      <c r="G118" s="55">
        <f t="shared" si="20"/>
        <v>66650</v>
      </c>
    </row>
    <row r="119" spans="3:7" s="40" customFormat="1" ht="12.75">
      <c r="C119" s="48">
        <v>223</v>
      </c>
      <c r="D119" s="55">
        <f>Лист6!CD65</f>
        <v>281071.09239</v>
      </c>
      <c r="E119" s="48"/>
      <c r="F119" s="48"/>
      <c r="G119" s="55">
        <f t="shared" si="20"/>
        <v>281071.09239</v>
      </c>
    </row>
    <row r="120" spans="3:7" s="40" customFormat="1" ht="12.75">
      <c r="C120" s="48">
        <v>225</v>
      </c>
      <c r="D120" s="55">
        <f>Лист7!CD19</f>
        <v>163047.472</v>
      </c>
      <c r="E120" s="48"/>
      <c r="F120" s="48"/>
      <c r="G120" s="55">
        <f t="shared" si="20"/>
        <v>163047.472</v>
      </c>
    </row>
    <row r="121" spans="3:7" s="40" customFormat="1" ht="12.75">
      <c r="C121" s="48">
        <v>226</v>
      </c>
      <c r="D121" s="55">
        <f>Лист7!CD64</f>
        <v>1142646.79</v>
      </c>
      <c r="E121" s="48"/>
      <c r="F121" s="48"/>
      <c r="G121" s="55">
        <f t="shared" si="20"/>
        <v>1142646.79</v>
      </c>
    </row>
    <row r="122" spans="3:7" s="40" customFormat="1" ht="12.75">
      <c r="C122" s="48">
        <v>310</v>
      </c>
      <c r="D122" s="48">
        <v>0</v>
      </c>
      <c r="E122" s="48"/>
      <c r="F122" s="48"/>
      <c r="G122" s="55">
        <f t="shared" si="20"/>
        <v>0</v>
      </c>
    </row>
    <row r="123" spans="3:7" s="40" customFormat="1" ht="12.75">
      <c r="C123" s="48">
        <v>341</v>
      </c>
      <c r="D123" s="56">
        <f>Лист7!CD86</f>
        <v>299.87</v>
      </c>
      <c r="E123" s="48"/>
      <c r="F123" s="48"/>
      <c r="G123" s="55">
        <f t="shared" si="20"/>
        <v>299.87</v>
      </c>
    </row>
    <row r="124" spans="3:36" s="40" customFormat="1" ht="15">
      <c r="C124" s="48">
        <v>342</v>
      </c>
      <c r="D124" s="55">
        <f>Лист7!CD90</f>
        <v>103693.4</v>
      </c>
      <c r="E124" s="48"/>
      <c r="F124" s="48"/>
      <c r="G124" s="55">
        <f t="shared" si="20"/>
        <v>103693.4</v>
      </c>
      <c r="AC124" s="41"/>
      <c r="AD124" s="41"/>
      <c r="AE124" s="41"/>
      <c r="AF124" s="41"/>
      <c r="AG124" s="41"/>
      <c r="AH124" s="41"/>
      <c r="AI124" s="41"/>
      <c r="AJ124" s="41"/>
    </row>
    <row r="125" spans="3:36" s="40" customFormat="1" ht="15">
      <c r="C125" s="48">
        <v>345</v>
      </c>
      <c r="D125" s="55">
        <f>Лист7!CD98</f>
        <v>8970.44</v>
      </c>
      <c r="E125" s="48"/>
      <c r="F125" s="48"/>
      <c r="G125" s="55">
        <f t="shared" si="20"/>
        <v>8970.44</v>
      </c>
      <c r="AC125" s="41"/>
      <c r="AD125" s="41"/>
      <c r="AE125" s="41"/>
      <c r="AF125" s="41"/>
      <c r="AG125" s="41"/>
      <c r="AH125" s="41"/>
      <c r="AI125" s="41"/>
      <c r="AJ125" s="41"/>
    </row>
    <row r="126" spans="3:36" s="40" customFormat="1" ht="15">
      <c r="C126" s="48">
        <v>346</v>
      </c>
      <c r="D126" s="55">
        <f>Лист7!CD119</f>
        <v>141537.17</v>
      </c>
      <c r="E126" s="48"/>
      <c r="F126" s="48"/>
      <c r="G126" s="55">
        <f t="shared" si="20"/>
        <v>141537.17</v>
      </c>
      <c r="AC126" s="41"/>
      <c r="AD126" s="41"/>
      <c r="AE126" s="41"/>
      <c r="AF126" s="41"/>
      <c r="AG126" s="41"/>
      <c r="AH126" s="41"/>
      <c r="AI126" s="41"/>
      <c r="AJ126" s="41"/>
    </row>
    <row r="127" spans="3:36" s="40" customFormat="1" ht="15">
      <c r="C127" s="48">
        <v>347</v>
      </c>
      <c r="D127" s="48">
        <v>0</v>
      </c>
      <c r="E127" s="48"/>
      <c r="F127" s="48"/>
      <c r="G127" s="55">
        <f t="shared" si="20"/>
        <v>0</v>
      </c>
      <c r="AC127" s="41"/>
      <c r="AD127" s="41"/>
      <c r="AE127" s="41"/>
      <c r="AF127" s="41"/>
      <c r="AG127" s="41"/>
      <c r="AH127" s="41"/>
      <c r="AI127" s="41"/>
      <c r="AJ127" s="41"/>
    </row>
    <row r="128" spans="3:36" s="40" customFormat="1" ht="15">
      <c r="C128" s="48">
        <v>349</v>
      </c>
      <c r="D128" s="56">
        <f>Лист7!CD123</f>
        <v>65000</v>
      </c>
      <c r="E128" s="48"/>
      <c r="F128" s="48"/>
      <c r="G128" s="55">
        <f t="shared" si="20"/>
        <v>65000</v>
      </c>
      <c r="AC128" s="41"/>
      <c r="AD128" s="41"/>
      <c r="AE128" s="41"/>
      <c r="AF128" s="41"/>
      <c r="AG128" s="41"/>
      <c r="AH128" s="41"/>
      <c r="AI128" s="41"/>
      <c r="AJ128" s="41"/>
    </row>
    <row r="129" spans="3:36" s="40" customFormat="1" ht="15">
      <c r="C129" s="57" t="s">
        <v>272</v>
      </c>
      <c r="D129" s="58">
        <f>SUM(D115:D128)</f>
        <v>4102321.091518</v>
      </c>
      <c r="E129" s="57"/>
      <c r="F129" s="57"/>
      <c r="G129" s="58">
        <f>SUM(G115:G128)</f>
        <v>4102321.091518</v>
      </c>
      <c r="AC129" s="41"/>
      <c r="AD129" s="41"/>
      <c r="AE129" s="41"/>
      <c r="AF129" s="41"/>
      <c r="AG129" s="41"/>
      <c r="AH129" s="41"/>
      <c r="AI129" s="41"/>
      <c r="AJ129" s="41"/>
    </row>
    <row r="130" spans="29:36" s="40" customFormat="1" ht="15">
      <c r="AC130" s="41"/>
      <c r="AD130" s="41"/>
      <c r="AE130" s="41"/>
      <c r="AF130" s="41"/>
      <c r="AG130" s="41"/>
      <c r="AH130" s="41"/>
      <c r="AI130" s="41"/>
      <c r="AJ130" s="41"/>
    </row>
    <row r="131" spans="29:36" s="40" customFormat="1" ht="15">
      <c r="AC131" s="41"/>
      <c r="AD131" s="41"/>
      <c r="AE131" s="41"/>
      <c r="AF131" s="41"/>
      <c r="AG131" s="41"/>
      <c r="AH131" s="41"/>
      <c r="AI131" s="41"/>
      <c r="AJ131" s="41"/>
    </row>
    <row r="132" spans="29:36" s="40" customFormat="1" ht="15">
      <c r="AC132" s="41"/>
      <c r="AD132" s="41"/>
      <c r="AE132" s="41"/>
      <c r="AF132" s="41"/>
      <c r="AG132" s="41"/>
      <c r="AH132" s="41"/>
      <c r="AI132" s="41"/>
      <c r="AJ132" s="41"/>
    </row>
    <row r="133" spans="29:36" s="40" customFormat="1" ht="15">
      <c r="AC133" s="41"/>
      <c r="AD133" s="41"/>
      <c r="AE133" s="41"/>
      <c r="AF133" s="41"/>
      <c r="AG133" s="41"/>
      <c r="AH133" s="41"/>
      <c r="AI133" s="41"/>
      <c r="AJ133" s="41"/>
    </row>
    <row r="134" spans="29:36" s="40" customFormat="1" ht="15">
      <c r="AC134" s="41"/>
      <c r="AD134" s="41"/>
      <c r="AE134" s="41"/>
      <c r="AF134" s="41"/>
      <c r="AG134" s="41"/>
      <c r="AH134" s="41"/>
      <c r="AI134" s="41"/>
      <c r="AJ134" s="41"/>
    </row>
    <row r="135" spans="29:36" s="40" customFormat="1" ht="15">
      <c r="AC135" s="41"/>
      <c r="AD135" s="41"/>
      <c r="AE135" s="41"/>
      <c r="AF135" s="41"/>
      <c r="AG135" s="41"/>
      <c r="AH135" s="41"/>
      <c r="AI135" s="41"/>
      <c r="AJ135" s="41"/>
    </row>
    <row r="136" spans="29:36" s="40" customFormat="1" ht="15">
      <c r="AC136" s="41"/>
      <c r="AD136" s="41"/>
      <c r="AE136" s="41"/>
      <c r="AF136" s="41"/>
      <c r="AG136" s="41"/>
      <c r="AH136" s="41"/>
      <c r="AI136" s="41"/>
      <c r="AJ136" s="41"/>
    </row>
    <row r="137" spans="29:36" s="40" customFormat="1" ht="15">
      <c r="AC137" s="41"/>
      <c r="AD137" s="41"/>
      <c r="AE137" s="41"/>
      <c r="AF137" s="41"/>
      <c r="AG137" s="41"/>
      <c r="AH137" s="41"/>
      <c r="AI137" s="41"/>
      <c r="AJ137" s="41"/>
    </row>
    <row r="138" spans="29:36" s="40" customFormat="1" ht="15">
      <c r="AC138" s="41"/>
      <c r="AD138" s="41"/>
      <c r="AE138" s="41"/>
      <c r="AF138" s="41"/>
      <c r="AG138" s="41"/>
      <c r="AH138" s="41"/>
      <c r="AI138" s="41"/>
      <c r="AJ138" s="41"/>
    </row>
    <row r="139" spans="29:36" s="40" customFormat="1" ht="15">
      <c r="AC139" s="41"/>
      <c r="AD139" s="41"/>
      <c r="AE139" s="41"/>
      <c r="AF139" s="41"/>
      <c r="AG139" s="41"/>
      <c r="AH139" s="41"/>
      <c r="AI139" s="41"/>
      <c r="AJ139" s="41"/>
    </row>
    <row r="140" spans="29:36" s="40" customFormat="1" ht="15">
      <c r="AC140" s="41"/>
      <c r="AD140" s="41"/>
      <c r="AE140" s="41"/>
      <c r="AF140" s="41"/>
      <c r="AG140" s="41"/>
      <c r="AH140" s="41"/>
      <c r="AI140" s="41"/>
      <c r="AJ140" s="41"/>
    </row>
    <row r="141" spans="29:36" s="40" customFormat="1" ht="15">
      <c r="AC141" s="41"/>
      <c r="AD141" s="41"/>
      <c r="AE141" s="41"/>
      <c r="AF141" s="41"/>
      <c r="AG141" s="41"/>
      <c r="AH141" s="41"/>
      <c r="AI141" s="41"/>
      <c r="AJ141" s="41"/>
    </row>
    <row r="142" spans="29:36" s="40" customFormat="1" ht="15">
      <c r="AC142" s="41"/>
      <c r="AD142" s="41"/>
      <c r="AE142" s="41"/>
      <c r="AF142" s="41"/>
      <c r="AG142" s="41"/>
      <c r="AH142" s="41"/>
      <c r="AI142" s="41"/>
      <c r="AJ142" s="41"/>
    </row>
    <row r="143" spans="29:36" s="40" customFormat="1" ht="15">
      <c r="AC143" s="41"/>
      <c r="AD143" s="41"/>
      <c r="AE143" s="41"/>
      <c r="AF143" s="41"/>
      <c r="AG143" s="41"/>
      <c r="AH143" s="41"/>
      <c r="AI143" s="41"/>
      <c r="AJ143" s="41"/>
    </row>
    <row r="144" spans="29:36" s="40" customFormat="1" ht="15">
      <c r="AC144" s="41"/>
      <c r="AD144" s="41"/>
      <c r="AE144" s="41"/>
      <c r="AF144" s="41"/>
      <c r="AG144" s="41"/>
      <c r="AH144" s="41"/>
      <c r="AI144" s="41"/>
      <c r="AJ144" s="41"/>
    </row>
    <row r="145" spans="29:36" s="40" customFormat="1" ht="15">
      <c r="AC145" s="41"/>
      <c r="AD145" s="41"/>
      <c r="AE145" s="41"/>
      <c r="AF145" s="41"/>
      <c r="AG145" s="41"/>
      <c r="AH145" s="41"/>
      <c r="AI145" s="41"/>
      <c r="AJ145" s="41"/>
    </row>
    <row r="146" spans="29:36" s="40" customFormat="1" ht="15">
      <c r="AC146" s="41"/>
      <c r="AD146" s="41"/>
      <c r="AE146" s="41"/>
      <c r="AF146" s="41"/>
      <c r="AG146" s="41"/>
      <c r="AH146" s="41"/>
      <c r="AI146" s="41"/>
      <c r="AJ146" s="41"/>
    </row>
    <row r="147" spans="29:36" s="40" customFormat="1" ht="15">
      <c r="AC147" s="41"/>
      <c r="AD147" s="41"/>
      <c r="AE147" s="41"/>
      <c r="AF147" s="41"/>
      <c r="AG147" s="41"/>
      <c r="AH147" s="41"/>
      <c r="AI147" s="41"/>
      <c r="AJ147" s="41"/>
    </row>
    <row r="148" spans="29:36" s="40" customFormat="1" ht="15">
      <c r="AC148" s="41"/>
      <c r="AD148" s="41"/>
      <c r="AE148" s="41"/>
      <c r="AF148" s="41"/>
      <c r="AG148" s="41"/>
      <c r="AH148" s="41"/>
      <c r="AI148" s="41"/>
      <c r="AJ148" s="41"/>
    </row>
    <row r="149" spans="29:36" s="40" customFormat="1" ht="15">
      <c r="AC149" s="41"/>
      <c r="AD149" s="41"/>
      <c r="AE149" s="41"/>
      <c r="AF149" s="41"/>
      <c r="AG149" s="41"/>
      <c r="AH149" s="41"/>
      <c r="AI149" s="41"/>
      <c r="AJ149" s="41"/>
    </row>
    <row r="150" spans="29:36" s="40" customFormat="1" ht="15">
      <c r="AC150" s="41"/>
      <c r="AD150" s="41"/>
      <c r="AE150" s="41"/>
      <c r="AF150" s="41"/>
      <c r="AG150" s="41"/>
      <c r="AH150" s="41"/>
      <c r="AI150" s="41"/>
      <c r="AJ150" s="41"/>
    </row>
    <row r="151" spans="29:36" s="40" customFormat="1" ht="15">
      <c r="AC151" s="41"/>
      <c r="AD151" s="41"/>
      <c r="AE151" s="41"/>
      <c r="AF151" s="41"/>
      <c r="AG151" s="41"/>
      <c r="AH151" s="41"/>
      <c r="AI151" s="41"/>
      <c r="AJ151" s="41"/>
    </row>
    <row r="152" spans="29:36" s="40" customFormat="1" ht="15">
      <c r="AC152" s="41"/>
      <c r="AD152" s="41"/>
      <c r="AE152" s="41"/>
      <c r="AF152" s="41"/>
      <c r="AG152" s="41"/>
      <c r="AH152" s="41"/>
      <c r="AI152" s="41"/>
      <c r="AJ152" s="41"/>
    </row>
    <row r="153" spans="29:36" s="40" customFormat="1" ht="15">
      <c r="AC153" s="41"/>
      <c r="AD153" s="41"/>
      <c r="AE153" s="41"/>
      <c r="AF153" s="41"/>
      <c r="AG153" s="41"/>
      <c r="AH153" s="41"/>
      <c r="AI153" s="41"/>
      <c r="AJ153" s="41"/>
    </row>
    <row r="154" spans="29:36" s="40" customFormat="1" ht="15">
      <c r="AC154" s="41"/>
      <c r="AD154" s="41"/>
      <c r="AE154" s="41"/>
      <c r="AF154" s="41"/>
      <c r="AG154" s="41"/>
      <c r="AH154" s="41"/>
      <c r="AI154" s="41"/>
      <c r="AJ154" s="41"/>
    </row>
    <row r="155" spans="29:36" s="40" customFormat="1" ht="15">
      <c r="AC155" s="41"/>
      <c r="AD155" s="41"/>
      <c r="AE155" s="41"/>
      <c r="AF155" s="41"/>
      <c r="AG155" s="41"/>
      <c r="AH155" s="41"/>
      <c r="AI155" s="41"/>
      <c r="AJ155" s="41"/>
    </row>
    <row r="156" spans="29:36" s="40" customFormat="1" ht="15">
      <c r="AC156" s="41"/>
      <c r="AD156" s="41"/>
      <c r="AE156" s="41"/>
      <c r="AF156" s="41"/>
      <c r="AG156" s="41"/>
      <c r="AH156" s="41"/>
      <c r="AI156" s="41"/>
      <c r="AJ156" s="41"/>
    </row>
    <row r="157" spans="29:36" s="40" customFormat="1" ht="15">
      <c r="AC157" s="41"/>
      <c r="AD157" s="41"/>
      <c r="AE157" s="41"/>
      <c r="AF157" s="41"/>
      <c r="AG157" s="41"/>
      <c r="AH157" s="41"/>
      <c r="AI157" s="41"/>
      <c r="AJ157" s="41"/>
    </row>
    <row r="158" spans="29:36" s="40" customFormat="1" ht="15">
      <c r="AC158" s="41"/>
      <c r="AD158" s="41"/>
      <c r="AE158" s="41"/>
      <c r="AF158" s="41"/>
      <c r="AG158" s="41"/>
      <c r="AH158" s="41"/>
      <c r="AI158" s="41"/>
      <c r="AJ158" s="41"/>
    </row>
    <row r="159" spans="29:36" s="40" customFormat="1" ht="15">
      <c r="AC159" s="41"/>
      <c r="AD159" s="41"/>
      <c r="AE159" s="41"/>
      <c r="AF159" s="41"/>
      <c r="AG159" s="41"/>
      <c r="AH159" s="41"/>
      <c r="AI159" s="41"/>
      <c r="AJ159" s="41"/>
    </row>
    <row r="160" spans="29:36" s="40" customFormat="1" ht="15">
      <c r="AC160" s="41"/>
      <c r="AD160" s="41"/>
      <c r="AE160" s="41"/>
      <c r="AF160" s="41"/>
      <c r="AG160" s="41"/>
      <c r="AH160" s="41"/>
      <c r="AI160" s="41"/>
      <c r="AJ160" s="41"/>
    </row>
    <row r="161" spans="29:36" s="40" customFormat="1" ht="15">
      <c r="AC161" s="41"/>
      <c r="AD161" s="41"/>
      <c r="AE161" s="41"/>
      <c r="AF161" s="41"/>
      <c r="AG161" s="41"/>
      <c r="AH161" s="41"/>
      <c r="AI161" s="41"/>
      <c r="AJ161" s="41"/>
    </row>
    <row r="162" spans="29:36" s="40" customFormat="1" ht="15">
      <c r="AC162" s="41"/>
      <c r="AD162" s="41"/>
      <c r="AE162" s="41"/>
      <c r="AF162" s="41"/>
      <c r="AG162" s="41"/>
      <c r="AH162" s="41"/>
      <c r="AI162" s="41"/>
      <c r="AJ162" s="41"/>
    </row>
    <row r="163" spans="29:36" s="40" customFormat="1" ht="15">
      <c r="AC163" s="41"/>
      <c r="AD163" s="41"/>
      <c r="AE163" s="41"/>
      <c r="AF163" s="41"/>
      <c r="AG163" s="41"/>
      <c r="AH163" s="41"/>
      <c r="AI163" s="41"/>
      <c r="AJ163" s="41"/>
    </row>
    <row r="164" spans="29:36" s="40" customFormat="1" ht="15">
      <c r="AC164" s="41"/>
      <c r="AD164" s="41"/>
      <c r="AE164" s="41"/>
      <c r="AF164" s="41"/>
      <c r="AG164" s="41"/>
      <c r="AH164" s="41"/>
      <c r="AI164" s="41"/>
      <c r="AJ164" s="41"/>
    </row>
    <row r="165" spans="29:36" s="40" customFormat="1" ht="15">
      <c r="AC165" s="41"/>
      <c r="AD165" s="41"/>
      <c r="AE165" s="41"/>
      <c r="AF165" s="41"/>
      <c r="AG165" s="41"/>
      <c r="AH165" s="41"/>
      <c r="AI165" s="41"/>
      <c r="AJ165" s="41"/>
    </row>
    <row r="166" spans="29:36" s="40" customFormat="1" ht="15">
      <c r="AC166" s="41"/>
      <c r="AD166" s="41"/>
      <c r="AE166" s="41"/>
      <c r="AF166" s="41"/>
      <c r="AG166" s="41"/>
      <c r="AH166" s="41"/>
      <c r="AI166" s="41"/>
      <c r="AJ166" s="41"/>
    </row>
    <row r="167" spans="29:36" s="40" customFormat="1" ht="15">
      <c r="AC167" s="41"/>
      <c r="AD167" s="41"/>
      <c r="AE167" s="41"/>
      <c r="AF167" s="41"/>
      <c r="AG167" s="41"/>
      <c r="AH167" s="41"/>
      <c r="AI167" s="41"/>
      <c r="AJ167" s="41"/>
    </row>
    <row r="168" spans="29:36" s="40" customFormat="1" ht="15">
      <c r="AC168" s="41"/>
      <c r="AD168" s="41"/>
      <c r="AE168" s="41"/>
      <c r="AF168" s="41"/>
      <c r="AG168" s="41"/>
      <c r="AH168" s="41"/>
      <c r="AI168" s="41"/>
      <c r="AJ168" s="41"/>
    </row>
    <row r="169" spans="29:36" s="40" customFormat="1" ht="15">
      <c r="AC169" s="41"/>
      <c r="AD169" s="41"/>
      <c r="AE169" s="41"/>
      <c r="AF169" s="41"/>
      <c r="AG169" s="41"/>
      <c r="AH169" s="41"/>
      <c r="AI169" s="41"/>
      <c r="AJ169" s="41"/>
    </row>
    <row r="170" spans="29:36" s="40" customFormat="1" ht="15">
      <c r="AC170" s="41"/>
      <c r="AD170" s="41"/>
      <c r="AE170" s="41"/>
      <c r="AF170" s="41"/>
      <c r="AG170" s="41"/>
      <c r="AH170" s="41"/>
      <c r="AI170" s="41"/>
      <c r="AJ170" s="41"/>
    </row>
    <row r="171" spans="29:36" s="40" customFormat="1" ht="15">
      <c r="AC171" s="41"/>
      <c r="AD171" s="41"/>
      <c r="AE171" s="41"/>
      <c r="AF171" s="41"/>
      <c r="AG171" s="41"/>
      <c r="AH171" s="41"/>
      <c r="AI171" s="41"/>
      <c r="AJ171" s="41"/>
    </row>
    <row r="172" spans="29:36" s="40" customFormat="1" ht="15">
      <c r="AC172" s="41"/>
      <c r="AD172" s="41"/>
      <c r="AE172" s="41"/>
      <c r="AF172" s="41"/>
      <c r="AG172" s="41"/>
      <c r="AH172" s="41"/>
      <c r="AI172" s="41"/>
      <c r="AJ172" s="41"/>
    </row>
    <row r="173" spans="29:36" s="40" customFormat="1" ht="15">
      <c r="AC173" s="41"/>
      <c r="AD173" s="41"/>
      <c r="AE173" s="41"/>
      <c r="AF173" s="41"/>
      <c r="AG173" s="41"/>
      <c r="AH173" s="41"/>
      <c r="AI173" s="41"/>
      <c r="AJ173" s="41"/>
    </row>
    <row r="174" spans="29:36" s="40" customFormat="1" ht="15">
      <c r="AC174" s="41"/>
      <c r="AD174" s="41"/>
      <c r="AE174" s="41"/>
      <c r="AF174" s="41"/>
      <c r="AG174" s="41"/>
      <c r="AH174" s="41"/>
      <c r="AI174" s="41"/>
      <c r="AJ174" s="41"/>
    </row>
    <row r="175" spans="29:36" s="40" customFormat="1" ht="15">
      <c r="AC175" s="41"/>
      <c r="AD175" s="41"/>
      <c r="AE175" s="41"/>
      <c r="AF175" s="41"/>
      <c r="AG175" s="41"/>
      <c r="AH175" s="41"/>
      <c r="AI175" s="41"/>
      <c r="AJ175" s="41"/>
    </row>
    <row r="176" spans="29:36" s="40" customFormat="1" ht="15">
      <c r="AC176" s="41"/>
      <c r="AD176" s="41"/>
      <c r="AE176" s="41"/>
      <c r="AF176" s="41"/>
      <c r="AG176" s="41"/>
      <c r="AH176" s="41"/>
      <c r="AI176" s="41"/>
      <c r="AJ176" s="41"/>
    </row>
    <row r="177" spans="29:36" s="40" customFormat="1" ht="15">
      <c r="AC177" s="41"/>
      <c r="AD177" s="41"/>
      <c r="AE177" s="41"/>
      <c r="AF177" s="41"/>
      <c r="AG177" s="41"/>
      <c r="AH177" s="41"/>
      <c r="AI177" s="41"/>
      <c r="AJ177" s="41"/>
    </row>
    <row r="178" spans="29:36" s="40" customFormat="1" ht="15">
      <c r="AC178" s="41"/>
      <c r="AD178" s="41"/>
      <c r="AE178" s="41"/>
      <c r="AF178" s="41"/>
      <c r="AG178" s="41"/>
      <c r="AH178" s="41"/>
      <c r="AI178" s="41"/>
      <c r="AJ178" s="41"/>
    </row>
    <row r="179" spans="29:36" s="40" customFormat="1" ht="15">
      <c r="AC179" s="41"/>
      <c r="AD179" s="41"/>
      <c r="AE179" s="41"/>
      <c r="AF179" s="41"/>
      <c r="AG179" s="41"/>
      <c r="AH179" s="41"/>
      <c r="AI179" s="41"/>
      <c r="AJ179" s="41"/>
    </row>
    <row r="180" spans="29:36" s="40" customFormat="1" ht="15">
      <c r="AC180" s="41"/>
      <c r="AD180" s="41"/>
      <c r="AE180" s="41"/>
      <c r="AF180" s="41"/>
      <c r="AG180" s="41"/>
      <c r="AH180" s="41"/>
      <c r="AI180" s="41"/>
      <c r="AJ180" s="41"/>
    </row>
    <row r="181" spans="29:36" s="40" customFormat="1" ht="15">
      <c r="AC181" s="41"/>
      <c r="AD181" s="41"/>
      <c r="AE181" s="41"/>
      <c r="AF181" s="41"/>
      <c r="AG181" s="41"/>
      <c r="AH181" s="41"/>
      <c r="AI181" s="41"/>
      <c r="AJ181" s="41"/>
    </row>
    <row r="182" spans="29:36" s="40" customFormat="1" ht="15">
      <c r="AC182" s="41"/>
      <c r="AD182" s="41"/>
      <c r="AE182" s="41"/>
      <c r="AF182" s="41"/>
      <c r="AG182" s="41"/>
      <c r="AH182" s="41"/>
      <c r="AI182" s="41"/>
      <c r="AJ182" s="41"/>
    </row>
    <row r="183" spans="29:36" s="40" customFormat="1" ht="15">
      <c r="AC183" s="41"/>
      <c r="AD183" s="41"/>
      <c r="AE183" s="41"/>
      <c r="AF183" s="41"/>
      <c r="AG183" s="41"/>
      <c r="AH183" s="41"/>
      <c r="AI183" s="41"/>
      <c r="AJ183" s="41"/>
    </row>
    <row r="184" spans="29:36" s="40" customFormat="1" ht="15">
      <c r="AC184" s="41"/>
      <c r="AD184" s="41"/>
      <c r="AE184" s="41"/>
      <c r="AF184" s="41"/>
      <c r="AG184" s="41"/>
      <c r="AH184" s="41"/>
      <c r="AI184" s="41"/>
      <c r="AJ184" s="41"/>
    </row>
    <row r="185" spans="29:36" s="40" customFormat="1" ht="15">
      <c r="AC185" s="41"/>
      <c r="AD185" s="41"/>
      <c r="AE185" s="41"/>
      <c r="AF185" s="41"/>
      <c r="AG185" s="41"/>
      <c r="AH185" s="41"/>
      <c r="AI185" s="41"/>
      <c r="AJ185" s="41"/>
    </row>
    <row r="186" spans="29:36" s="40" customFormat="1" ht="15">
      <c r="AC186" s="41"/>
      <c r="AD186" s="41"/>
      <c r="AE186" s="41"/>
      <c r="AF186" s="41"/>
      <c r="AG186" s="41"/>
      <c r="AH186" s="41"/>
      <c r="AI186" s="41"/>
      <c r="AJ186" s="41"/>
    </row>
    <row r="187" spans="29:36" s="40" customFormat="1" ht="15">
      <c r="AC187" s="41"/>
      <c r="AD187" s="41"/>
      <c r="AE187" s="41"/>
      <c r="AF187" s="41"/>
      <c r="AG187" s="41"/>
      <c r="AH187" s="41"/>
      <c r="AI187" s="41"/>
      <c r="AJ187" s="41"/>
    </row>
  </sheetData>
  <sheetProtection/>
  <mergeCells count="35">
    <mergeCell ref="AI19:AJ19"/>
    <mergeCell ref="AC18:AC20"/>
    <mergeCell ref="AD18:AG18"/>
    <mergeCell ref="AH18:AH20"/>
    <mergeCell ref="AD19:AD20"/>
    <mergeCell ref="AE19:AE20"/>
    <mergeCell ref="AF19:AF20"/>
    <mergeCell ref="AG19:AG20"/>
    <mergeCell ref="I18:N18"/>
    <mergeCell ref="D18:G18"/>
    <mergeCell ref="I19:J19"/>
    <mergeCell ref="H18:H20"/>
    <mergeCell ref="K19:M19"/>
    <mergeCell ref="A10:N10"/>
    <mergeCell ref="F12:N12"/>
    <mergeCell ref="A111:B111"/>
    <mergeCell ref="A43:C43"/>
    <mergeCell ref="N19:N20"/>
    <mergeCell ref="A18:A20"/>
    <mergeCell ref="B18:B20"/>
    <mergeCell ref="C18:C20"/>
    <mergeCell ref="D19:D20"/>
    <mergeCell ref="E19:E20"/>
    <mergeCell ref="F19:F20"/>
    <mergeCell ref="G19:G20"/>
    <mergeCell ref="T12:W12"/>
    <mergeCell ref="P18:P20"/>
    <mergeCell ref="Q18:T18"/>
    <mergeCell ref="U18:U20"/>
    <mergeCell ref="V18:W18"/>
    <mergeCell ref="T19:T20"/>
    <mergeCell ref="V19:W19"/>
    <mergeCell ref="Q19:Q20"/>
    <mergeCell ref="R19:R20"/>
    <mergeCell ref="S19:S20"/>
  </mergeCells>
  <printOptions/>
  <pageMargins left="0.1968503937007874" right="0.1968503937007874" top="0.5905511811023623" bottom="0.1968503937007874" header="0.2755905511811024" footer="0.275590551181102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</sheetPr>
  <dimension ref="A1:CE98"/>
  <sheetViews>
    <sheetView zoomScalePageLayoutView="0" workbookViewId="0" topLeftCell="A79">
      <selection activeCell="CB99" sqref="CB99"/>
    </sheetView>
  </sheetViews>
  <sheetFormatPr defaultColWidth="1.12109375" defaultRowHeight="8.25" customHeight="1"/>
  <cols>
    <col min="1" max="1" width="5.50390625" style="7" customWidth="1"/>
    <col min="2" max="54" width="1.12109375" style="7" customWidth="1"/>
    <col min="55" max="55" width="1.875" style="7" customWidth="1"/>
    <col min="56" max="77" width="1.12109375" style="7" customWidth="1"/>
    <col min="78" max="78" width="9.50390625" style="7" customWidth="1"/>
    <col min="79" max="79" width="11.375" style="7" customWidth="1"/>
    <col min="80" max="80" width="9.125" style="7" customWidth="1"/>
    <col min="81" max="81" width="9.50390625" style="7" customWidth="1"/>
    <col min="82" max="82" width="8.875" style="7" customWidth="1"/>
    <col min="83" max="83" width="19.625" style="7" customWidth="1"/>
    <col min="84" max="16384" width="1.12109375" style="7" customWidth="1"/>
  </cols>
  <sheetData>
    <row r="1" spans="1:83" s="3" customFormat="1" ht="16.5" customHeight="1" hidden="1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</row>
    <row r="2" s="4" customFormat="1" ht="8.25" customHeight="1" hidden="1"/>
    <row r="3" spans="1:83" ht="8.25" customHeight="1" hidden="1">
      <c r="A3" s="93" t="s">
        <v>39</v>
      </c>
      <c r="B3" s="93" t="s">
        <v>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3" t="s">
        <v>50</v>
      </c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5"/>
      <c r="AU3" s="93" t="s">
        <v>51</v>
      </c>
      <c r="AV3" s="94"/>
      <c r="AW3" s="94"/>
      <c r="AX3" s="94"/>
      <c r="AY3" s="94"/>
      <c r="AZ3" s="94"/>
      <c r="BA3" s="94"/>
      <c r="BB3" s="94"/>
      <c r="BC3" s="95"/>
      <c r="BD3" s="93" t="s">
        <v>52</v>
      </c>
      <c r="BE3" s="94"/>
      <c r="BF3" s="94"/>
      <c r="BG3" s="94"/>
      <c r="BH3" s="94"/>
      <c r="BI3" s="94"/>
      <c r="BJ3" s="94"/>
      <c r="BK3" s="94"/>
      <c r="BL3" s="95"/>
      <c r="BM3" s="93" t="s">
        <v>53</v>
      </c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5"/>
      <c r="BZ3" s="120" t="s">
        <v>66</v>
      </c>
      <c r="CA3" s="120"/>
      <c r="CB3" s="120"/>
      <c r="CC3" s="120"/>
      <c r="CD3" s="120"/>
      <c r="CE3" s="120"/>
    </row>
    <row r="4" spans="1:83" ht="26.25" customHeight="1" hidden="1">
      <c r="A4" s="96"/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8"/>
      <c r="AU4" s="96"/>
      <c r="AV4" s="97"/>
      <c r="AW4" s="97"/>
      <c r="AX4" s="97"/>
      <c r="AY4" s="97"/>
      <c r="AZ4" s="97"/>
      <c r="BA4" s="97"/>
      <c r="BB4" s="97"/>
      <c r="BC4" s="98"/>
      <c r="BD4" s="96"/>
      <c r="BE4" s="97"/>
      <c r="BF4" s="97"/>
      <c r="BG4" s="97"/>
      <c r="BH4" s="97"/>
      <c r="BI4" s="97"/>
      <c r="BJ4" s="97"/>
      <c r="BK4" s="97"/>
      <c r="BL4" s="98"/>
      <c r="BM4" s="96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8"/>
      <c r="BZ4" s="125" t="s">
        <v>36</v>
      </c>
      <c r="CA4" s="125"/>
      <c r="CB4" s="142" t="s">
        <v>46</v>
      </c>
      <c r="CC4" s="143"/>
      <c r="CD4" s="144"/>
      <c r="CE4" s="126" t="s">
        <v>47</v>
      </c>
    </row>
    <row r="5" spans="1:83" ht="8.25" customHeight="1" hidden="1">
      <c r="A5" s="96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96"/>
      <c r="AV5" s="97"/>
      <c r="AW5" s="97"/>
      <c r="AX5" s="97"/>
      <c r="AY5" s="97"/>
      <c r="AZ5" s="97"/>
      <c r="BA5" s="97"/>
      <c r="BB5" s="97"/>
      <c r="BC5" s="98"/>
      <c r="BD5" s="96"/>
      <c r="BE5" s="97"/>
      <c r="BF5" s="97"/>
      <c r="BG5" s="97"/>
      <c r="BH5" s="97"/>
      <c r="BI5" s="97"/>
      <c r="BJ5" s="97"/>
      <c r="BK5" s="97"/>
      <c r="BL5" s="98"/>
      <c r="BM5" s="96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8"/>
      <c r="BZ5" s="124" t="s">
        <v>44</v>
      </c>
      <c r="CA5" s="124" t="s">
        <v>45</v>
      </c>
      <c r="CB5" s="135" t="s">
        <v>83</v>
      </c>
      <c r="CC5" s="124" t="s">
        <v>44</v>
      </c>
      <c r="CD5" s="124" t="s">
        <v>45</v>
      </c>
      <c r="CE5" s="127"/>
    </row>
    <row r="6" spans="1:83" ht="15" customHeight="1" hidden="1">
      <c r="A6" s="99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G6" s="99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1"/>
      <c r="AU6" s="99"/>
      <c r="AV6" s="100"/>
      <c r="AW6" s="100"/>
      <c r="AX6" s="100"/>
      <c r="AY6" s="100"/>
      <c r="AZ6" s="100"/>
      <c r="BA6" s="100"/>
      <c r="BB6" s="100"/>
      <c r="BC6" s="101"/>
      <c r="BD6" s="99"/>
      <c r="BE6" s="100"/>
      <c r="BF6" s="100"/>
      <c r="BG6" s="100"/>
      <c r="BH6" s="100"/>
      <c r="BI6" s="100"/>
      <c r="BJ6" s="100"/>
      <c r="BK6" s="100"/>
      <c r="BL6" s="101"/>
      <c r="BM6" s="99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1"/>
      <c r="BZ6" s="124"/>
      <c r="CA6" s="124"/>
      <c r="CB6" s="136"/>
      <c r="CC6" s="124"/>
      <c r="CD6" s="124"/>
      <c r="CE6" s="128"/>
    </row>
    <row r="7" spans="1:83" ht="8.25" customHeight="1" hidden="1">
      <c r="A7" s="16">
        <v>1</v>
      </c>
      <c r="B7" s="92">
        <v>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>
        <v>3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>
        <v>4</v>
      </c>
      <c r="AV7" s="92"/>
      <c r="AW7" s="92"/>
      <c r="AX7" s="92"/>
      <c r="AY7" s="92"/>
      <c r="AZ7" s="92"/>
      <c r="BA7" s="92"/>
      <c r="BB7" s="92"/>
      <c r="BC7" s="92"/>
      <c r="BD7" s="92">
        <v>5</v>
      </c>
      <c r="BE7" s="92"/>
      <c r="BF7" s="92"/>
      <c r="BG7" s="92"/>
      <c r="BH7" s="92"/>
      <c r="BI7" s="92"/>
      <c r="BJ7" s="92"/>
      <c r="BK7" s="92"/>
      <c r="BL7" s="92"/>
      <c r="BM7" s="92" t="s">
        <v>54</v>
      </c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15">
        <v>7</v>
      </c>
      <c r="CA7" s="15">
        <v>8</v>
      </c>
      <c r="CB7" s="15">
        <v>9</v>
      </c>
      <c r="CC7" s="15">
        <v>10</v>
      </c>
      <c r="CD7" s="15">
        <v>11</v>
      </c>
      <c r="CE7" s="15">
        <v>12</v>
      </c>
    </row>
    <row r="8" spans="1:83" ht="8.25" customHeight="1" hidden="1">
      <c r="A8" s="17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17"/>
      <c r="CA8" s="17"/>
      <c r="CB8" s="17"/>
      <c r="CC8" s="17"/>
      <c r="CD8" s="17"/>
      <c r="CE8" s="17"/>
    </row>
    <row r="9" spans="1:83" ht="8.25" customHeight="1" hidden="1">
      <c r="A9" s="17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17"/>
      <c r="CA9" s="17"/>
      <c r="CB9" s="17"/>
      <c r="CC9" s="17"/>
      <c r="CD9" s="17"/>
      <c r="CE9" s="17"/>
    </row>
    <row r="10" spans="1:83" ht="18" customHeight="1" hidden="1">
      <c r="A10" s="86" t="s">
        <v>80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120" t="s">
        <v>3</v>
      </c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 t="s">
        <v>3</v>
      </c>
      <c r="AV10" s="120"/>
      <c r="AW10" s="120"/>
      <c r="AX10" s="120"/>
      <c r="AY10" s="120"/>
      <c r="AZ10" s="120"/>
      <c r="BA10" s="120"/>
      <c r="BB10" s="120"/>
      <c r="BC10" s="120"/>
      <c r="BD10" s="120" t="s">
        <v>3</v>
      </c>
      <c r="BE10" s="120"/>
      <c r="BF10" s="120"/>
      <c r="BG10" s="120"/>
      <c r="BH10" s="120"/>
      <c r="BI10" s="120"/>
      <c r="BJ10" s="120"/>
      <c r="BK10" s="120"/>
      <c r="BL10" s="120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17"/>
      <c r="CA10" s="17"/>
      <c r="CB10" s="17"/>
      <c r="CC10" s="17"/>
      <c r="CD10" s="17"/>
      <c r="CE10" s="17"/>
    </row>
    <row r="11" spans="1:83" ht="8.25" customHeight="1" hidden="1">
      <c r="A11" s="17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7"/>
      <c r="CA11" s="17"/>
      <c r="CB11" s="17"/>
      <c r="CC11" s="17"/>
      <c r="CD11" s="17"/>
      <c r="CE11" s="17"/>
    </row>
    <row r="12" spans="1:83" ht="8.25" customHeight="1" hidden="1">
      <c r="A12" s="1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7"/>
      <c r="CA12" s="17"/>
      <c r="CB12" s="17"/>
      <c r="CC12" s="17"/>
      <c r="CD12" s="17"/>
      <c r="CE12" s="17"/>
    </row>
    <row r="13" spans="1:83" ht="16.5" customHeight="1" hidden="1">
      <c r="A13" s="86" t="s">
        <v>70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120" t="s">
        <v>3</v>
      </c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 t="s">
        <v>3</v>
      </c>
      <c r="AV13" s="120"/>
      <c r="AW13" s="120"/>
      <c r="AX13" s="120"/>
      <c r="AY13" s="120"/>
      <c r="AZ13" s="120"/>
      <c r="BA13" s="120"/>
      <c r="BB13" s="120"/>
      <c r="BC13" s="120"/>
      <c r="BD13" s="120" t="s">
        <v>3</v>
      </c>
      <c r="BE13" s="120"/>
      <c r="BF13" s="120"/>
      <c r="BG13" s="120"/>
      <c r="BH13" s="120"/>
      <c r="BI13" s="120"/>
      <c r="BJ13" s="120"/>
      <c r="BK13" s="120"/>
      <c r="BL13" s="120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7"/>
      <c r="CA13" s="17"/>
      <c r="CB13" s="17"/>
      <c r="CC13" s="17"/>
      <c r="CD13" s="17"/>
      <c r="CE13" s="17"/>
    </row>
    <row r="14" s="1" customFormat="1" ht="8.25" customHeight="1" hidden="1"/>
    <row r="15" s="1" customFormat="1" ht="8.25" customHeight="1" hidden="1"/>
    <row r="16" s="1" customFormat="1" ht="8.25" customHeight="1" hidden="1"/>
    <row r="17" s="1" customFormat="1" ht="8.25" customHeight="1" hidden="1"/>
    <row r="18" spans="1:83" s="3" customFormat="1" ht="22.5" customHeight="1" hidden="1">
      <c r="A18" s="19" t="s">
        <v>142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</row>
    <row r="19" s="4" customFormat="1" ht="8.25" customHeight="1" hidden="1"/>
    <row r="20" spans="1:83" ht="8.25" customHeight="1" hidden="1">
      <c r="A20" s="129" t="s">
        <v>39</v>
      </c>
      <c r="B20" s="111" t="s">
        <v>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93" t="s">
        <v>55</v>
      </c>
      <c r="AH20" s="94"/>
      <c r="AI20" s="94"/>
      <c r="AJ20" s="94"/>
      <c r="AK20" s="94"/>
      <c r="AL20" s="94"/>
      <c r="AM20" s="94"/>
      <c r="AN20" s="94"/>
      <c r="AO20" s="94"/>
      <c r="AP20" s="94"/>
      <c r="AQ20" s="95"/>
      <c r="AR20" s="93" t="s">
        <v>56</v>
      </c>
      <c r="AS20" s="94"/>
      <c r="AT20" s="94"/>
      <c r="AU20" s="94"/>
      <c r="AV20" s="94"/>
      <c r="AW20" s="94"/>
      <c r="AX20" s="94"/>
      <c r="AY20" s="94"/>
      <c r="AZ20" s="94"/>
      <c r="BA20" s="95"/>
      <c r="BB20" s="93" t="s">
        <v>57</v>
      </c>
      <c r="BC20" s="94"/>
      <c r="BD20" s="94"/>
      <c r="BE20" s="94"/>
      <c r="BF20" s="94"/>
      <c r="BG20" s="94"/>
      <c r="BH20" s="94"/>
      <c r="BI20" s="94"/>
      <c r="BJ20" s="94"/>
      <c r="BK20" s="94"/>
      <c r="BL20" s="95"/>
      <c r="BM20" s="93" t="s">
        <v>6</v>
      </c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5"/>
      <c r="BZ20" s="120" t="s">
        <v>66</v>
      </c>
      <c r="CA20" s="120"/>
      <c r="CB20" s="120"/>
      <c r="CC20" s="120"/>
      <c r="CD20" s="120"/>
      <c r="CE20" s="120"/>
    </row>
    <row r="21" spans="1:83" ht="41.25" customHeight="1" hidden="1">
      <c r="A21" s="130"/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96"/>
      <c r="AH21" s="97"/>
      <c r="AI21" s="97"/>
      <c r="AJ21" s="97"/>
      <c r="AK21" s="97"/>
      <c r="AL21" s="97"/>
      <c r="AM21" s="97"/>
      <c r="AN21" s="97"/>
      <c r="AO21" s="97"/>
      <c r="AP21" s="97"/>
      <c r="AQ21" s="98"/>
      <c r="AR21" s="96"/>
      <c r="AS21" s="97"/>
      <c r="AT21" s="97"/>
      <c r="AU21" s="97"/>
      <c r="AV21" s="97"/>
      <c r="AW21" s="97"/>
      <c r="AX21" s="97"/>
      <c r="AY21" s="97"/>
      <c r="AZ21" s="97"/>
      <c r="BA21" s="98"/>
      <c r="BB21" s="96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6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8"/>
      <c r="BZ21" s="125" t="s">
        <v>36</v>
      </c>
      <c r="CA21" s="125"/>
      <c r="CB21" s="142" t="s">
        <v>46</v>
      </c>
      <c r="CC21" s="143"/>
      <c r="CD21" s="144"/>
      <c r="CE21" s="126" t="s">
        <v>47</v>
      </c>
    </row>
    <row r="22" spans="1:83" ht="8.25" customHeight="1" hidden="1">
      <c r="A22" s="130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96"/>
      <c r="AH22" s="97"/>
      <c r="AI22" s="97"/>
      <c r="AJ22" s="97"/>
      <c r="AK22" s="97"/>
      <c r="AL22" s="97"/>
      <c r="AM22" s="97"/>
      <c r="AN22" s="97"/>
      <c r="AO22" s="97"/>
      <c r="AP22" s="97"/>
      <c r="AQ22" s="98"/>
      <c r="AR22" s="96"/>
      <c r="AS22" s="97"/>
      <c r="AT22" s="97"/>
      <c r="AU22" s="97"/>
      <c r="AV22" s="97"/>
      <c r="AW22" s="97"/>
      <c r="AX22" s="97"/>
      <c r="AY22" s="97"/>
      <c r="AZ22" s="97"/>
      <c r="BA22" s="98"/>
      <c r="BB22" s="96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6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8"/>
      <c r="BZ22" s="124" t="s">
        <v>44</v>
      </c>
      <c r="CA22" s="124" t="s">
        <v>45</v>
      </c>
      <c r="CB22" s="135" t="s">
        <v>83</v>
      </c>
      <c r="CC22" s="124" t="s">
        <v>44</v>
      </c>
      <c r="CD22" s="124" t="s">
        <v>45</v>
      </c>
      <c r="CE22" s="127"/>
    </row>
    <row r="23" spans="1:83" ht="30" customHeight="1" hidden="1">
      <c r="A23" s="131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9"/>
      <c r="AG23" s="99"/>
      <c r="AH23" s="100"/>
      <c r="AI23" s="100"/>
      <c r="AJ23" s="100"/>
      <c r="AK23" s="100"/>
      <c r="AL23" s="100"/>
      <c r="AM23" s="100"/>
      <c r="AN23" s="100"/>
      <c r="AO23" s="100"/>
      <c r="AP23" s="100"/>
      <c r="AQ23" s="101"/>
      <c r="AR23" s="99"/>
      <c r="AS23" s="100"/>
      <c r="AT23" s="100"/>
      <c r="AU23" s="100"/>
      <c r="AV23" s="100"/>
      <c r="AW23" s="100"/>
      <c r="AX23" s="100"/>
      <c r="AY23" s="100"/>
      <c r="AZ23" s="100"/>
      <c r="BA23" s="101"/>
      <c r="BB23" s="99"/>
      <c r="BC23" s="100"/>
      <c r="BD23" s="100"/>
      <c r="BE23" s="100"/>
      <c r="BF23" s="100"/>
      <c r="BG23" s="100"/>
      <c r="BH23" s="100"/>
      <c r="BI23" s="100"/>
      <c r="BJ23" s="100"/>
      <c r="BK23" s="100"/>
      <c r="BL23" s="101"/>
      <c r="BM23" s="99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1"/>
      <c r="BZ23" s="124"/>
      <c r="CA23" s="124"/>
      <c r="CB23" s="136"/>
      <c r="CC23" s="124"/>
      <c r="CD23" s="124"/>
      <c r="CE23" s="128"/>
    </row>
    <row r="24" spans="1:83" ht="14.25" customHeight="1" hidden="1">
      <c r="A24" s="16">
        <v>1</v>
      </c>
      <c r="B24" s="92">
        <v>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>
        <v>3</v>
      </c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>
        <v>4</v>
      </c>
      <c r="AS24" s="92"/>
      <c r="AT24" s="92"/>
      <c r="AU24" s="92"/>
      <c r="AV24" s="92"/>
      <c r="AW24" s="92"/>
      <c r="AX24" s="92"/>
      <c r="AY24" s="92"/>
      <c r="AZ24" s="92"/>
      <c r="BA24" s="92"/>
      <c r="BB24" s="92">
        <v>5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 t="s">
        <v>54</v>
      </c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15">
        <v>7</v>
      </c>
      <c r="CA24" s="15">
        <v>8</v>
      </c>
      <c r="CB24" s="15">
        <v>9</v>
      </c>
      <c r="CC24" s="15">
        <v>10</v>
      </c>
      <c r="CD24" s="15">
        <v>11</v>
      </c>
      <c r="CE24" s="15">
        <v>12</v>
      </c>
    </row>
    <row r="25" spans="1:83" ht="55.5" customHeight="1" hidden="1">
      <c r="A25" s="15">
        <v>1</v>
      </c>
      <c r="B25" s="132" t="s">
        <v>199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4"/>
      <c r="AG25" s="86">
        <v>1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8"/>
      <c r="AR25" s="86">
        <v>12</v>
      </c>
      <c r="AS25" s="87"/>
      <c r="AT25" s="87"/>
      <c r="AU25" s="87"/>
      <c r="AV25" s="87"/>
      <c r="AW25" s="87"/>
      <c r="AX25" s="87"/>
      <c r="AY25" s="87"/>
      <c r="AZ25" s="87"/>
      <c r="BA25" s="88"/>
      <c r="BB25" s="86">
        <v>50</v>
      </c>
      <c r="BC25" s="87"/>
      <c r="BD25" s="87"/>
      <c r="BE25" s="87"/>
      <c r="BF25" s="87"/>
      <c r="BG25" s="87"/>
      <c r="BH25" s="87"/>
      <c r="BI25" s="87"/>
      <c r="BJ25" s="87"/>
      <c r="BK25" s="87"/>
      <c r="BL25" s="88"/>
      <c r="BM25" s="83">
        <f>BB25*AR25</f>
        <v>600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5"/>
      <c r="BZ25" s="15"/>
      <c r="CA25" s="25"/>
      <c r="CB25" s="17"/>
      <c r="CC25" s="17"/>
      <c r="CD25" s="17"/>
      <c r="CE25" s="25">
        <f>BM25</f>
        <v>600</v>
      </c>
    </row>
    <row r="26" spans="1:83" ht="24.75" customHeight="1" hidden="1">
      <c r="A26" s="161" t="s">
        <v>81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91" t="s">
        <v>3</v>
      </c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 t="s">
        <v>3</v>
      </c>
      <c r="AS26" s="91"/>
      <c r="AT26" s="91"/>
      <c r="AU26" s="91"/>
      <c r="AV26" s="91"/>
      <c r="AW26" s="91"/>
      <c r="AX26" s="91"/>
      <c r="AY26" s="91"/>
      <c r="AZ26" s="91"/>
      <c r="BA26" s="91"/>
      <c r="BB26" s="91" t="s">
        <v>3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0">
        <f>BM25</f>
        <v>600</v>
      </c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22"/>
      <c r="CA26" s="27"/>
      <c r="CB26" s="17"/>
      <c r="CC26" s="17"/>
      <c r="CD26" s="17"/>
      <c r="CE26" s="26">
        <f>BM26</f>
        <v>600</v>
      </c>
    </row>
    <row r="27" s="1" customFormat="1" ht="8.25" customHeight="1" hidden="1"/>
    <row r="28" s="1" customFormat="1" ht="8.25" customHeight="1" hidden="1"/>
    <row r="29" s="1" customFormat="1" ht="8.25" customHeight="1" hidden="1"/>
    <row r="30" s="1" customFormat="1" ht="8.25" customHeight="1" hidden="1"/>
    <row r="31" s="1" customFormat="1" ht="8.25" customHeight="1" hidden="1"/>
    <row r="32" s="1" customFormat="1" ht="8.25" customHeight="1" hidden="1"/>
    <row r="33" s="1" customFormat="1" ht="8.25" customHeight="1" hidden="1"/>
    <row r="34" s="1" customFormat="1" ht="8.25" customHeight="1" hidden="1"/>
    <row r="35" spans="1:83" s="1" customFormat="1" ht="8.25" customHeight="1" hidden="1">
      <c r="A35" s="19" t="s">
        <v>143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</row>
    <row r="36" spans="1:83" s="1" customFormat="1" ht="8.25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s="1" customFormat="1" ht="8.25" customHeight="1" hidden="1">
      <c r="A37" s="129" t="s">
        <v>39</v>
      </c>
      <c r="B37" s="111" t="s">
        <v>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  <c r="AG37" s="93" t="s">
        <v>51</v>
      </c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5"/>
      <c r="BB37" s="93" t="s">
        <v>82</v>
      </c>
      <c r="BC37" s="94"/>
      <c r="BD37" s="94"/>
      <c r="BE37" s="94"/>
      <c r="BF37" s="94"/>
      <c r="BG37" s="94"/>
      <c r="BH37" s="94"/>
      <c r="BI37" s="94"/>
      <c r="BJ37" s="94"/>
      <c r="BK37" s="94"/>
      <c r="BL37" s="95"/>
      <c r="BM37" s="93" t="s">
        <v>6</v>
      </c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5"/>
      <c r="BZ37" s="120" t="s">
        <v>66</v>
      </c>
      <c r="CA37" s="120"/>
      <c r="CB37" s="120"/>
      <c r="CC37" s="120"/>
      <c r="CD37" s="120"/>
      <c r="CE37" s="120"/>
    </row>
    <row r="38" spans="1:83" s="1" customFormat="1" ht="8.25" customHeight="1" hidden="1">
      <c r="A38" s="13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6"/>
      <c r="AG38" s="96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  <c r="BB38" s="96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6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8"/>
      <c r="BZ38" s="125" t="s">
        <v>36</v>
      </c>
      <c r="CA38" s="125"/>
      <c r="CB38" s="142" t="s">
        <v>46</v>
      </c>
      <c r="CC38" s="143"/>
      <c r="CD38" s="144"/>
      <c r="CE38" s="126" t="s">
        <v>47</v>
      </c>
    </row>
    <row r="39" spans="1:83" s="1" customFormat="1" ht="8.25" customHeight="1" hidden="1">
      <c r="A39" s="13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6"/>
      <c r="AG39" s="96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96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6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8"/>
      <c r="BZ39" s="124" t="s">
        <v>44</v>
      </c>
      <c r="CA39" s="124" t="s">
        <v>45</v>
      </c>
      <c r="CB39" s="135" t="s">
        <v>83</v>
      </c>
      <c r="CC39" s="124" t="s">
        <v>44</v>
      </c>
      <c r="CD39" s="124" t="s">
        <v>45</v>
      </c>
      <c r="CE39" s="127"/>
    </row>
    <row r="40" spans="1:83" s="1" customFormat="1" ht="8.25" customHeight="1" hidden="1">
      <c r="A40" s="131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  <c r="AG40" s="99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  <c r="BB40" s="99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BM40" s="99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1"/>
      <c r="BZ40" s="124"/>
      <c r="CA40" s="124"/>
      <c r="CB40" s="136"/>
      <c r="CC40" s="124"/>
      <c r="CD40" s="124"/>
      <c r="CE40" s="128"/>
    </row>
    <row r="41" spans="1:83" s="1" customFormat="1" ht="8.25" customHeight="1" hidden="1">
      <c r="A41" s="16">
        <v>1</v>
      </c>
      <c r="B41" s="92">
        <v>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137">
        <v>3</v>
      </c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9"/>
      <c r="BB41" s="92">
        <v>4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 t="s">
        <v>58</v>
      </c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15">
        <v>6</v>
      </c>
      <c r="CA41" s="15">
        <v>7</v>
      </c>
      <c r="CB41" s="15">
        <v>8</v>
      </c>
      <c r="CC41" s="15">
        <v>9</v>
      </c>
      <c r="CD41" s="15">
        <v>10</v>
      </c>
      <c r="CE41" s="15">
        <v>11</v>
      </c>
    </row>
    <row r="42" spans="1:83" s="1" customFormat="1" ht="8.25" customHeight="1" hidden="1">
      <c r="A42" s="17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06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8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7"/>
      <c r="CA42" s="17"/>
      <c r="CB42" s="17"/>
      <c r="CC42" s="17"/>
      <c r="CD42" s="17"/>
      <c r="CE42" s="17"/>
    </row>
    <row r="43" spans="1:83" s="1" customFormat="1" ht="8.25" customHeight="1" hidden="1">
      <c r="A43" s="17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06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8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17"/>
      <c r="CA43" s="17"/>
      <c r="CB43" s="17"/>
      <c r="CC43" s="17"/>
      <c r="CD43" s="17"/>
      <c r="CE43" s="17"/>
    </row>
    <row r="44" spans="1:83" s="1" customFormat="1" ht="8.25" customHeight="1" hidden="1">
      <c r="A44" s="86" t="s">
        <v>70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106" t="s">
        <v>3</v>
      </c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8"/>
      <c r="BB44" s="120" t="s">
        <v>3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17"/>
      <c r="CA44" s="17"/>
      <c r="CB44" s="17"/>
      <c r="CC44" s="17"/>
      <c r="CD44" s="17"/>
      <c r="CE44" s="17"/>
    </row>
    <row r="45" spans="1:83" s="1" customFormat="1" ht="8.25" customHeight="1" hidden="1">
      <c r="A45" s="18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8"/>
      <c r="CA45" s="18"/>
      <c r="CB45" s="18"/>
      <c r="CC45" s="18"/>
      <c r="CD45" s="18"/>
      <c r="CE45" s="18"/>
    </row>
    <row r="46" spans="1:83" s="1" customFormat="1" ht="8.25" customHeight="1" hidden="1">
      <c r="A46" s="1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8"/>
      <c r="CA46" s="18"/>
      <c r="CB46" s="18"/>
      <c r="CC46" s="18"/>
      <c r="CD46" s="18"/>
      <c r="CE46" s="18"/>
    </row>
    <row r="47" spans="1:83" s="1" customFormat="1" ht="8.25" customHeight="1" hidden="1">
      <c r="A47" s="1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8"/>
      <c r="CA47" s="18"/>
      <c r="CB47" s="18"/>
      <c r="CC47" s="18"/>
      <c r="CD47" s="18"/>
      <c r="CE47" s="18"/>
    </row>
    <row r="48" spans="1:83" s="1" customFormat="1" ht="8.25" customHeight="1" hidden="1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8"/>
      <c r="CA48" s="18"/>
      <c r="CB48" s="18"/>
      <c r="CC48" s="18"/>
      <c r="CD48" s="18"/>
      <c r="CE48" s="18"/>
    </row>
    <row r="49" spans="1:83" s="1" customFormat="1" ht="8.25" customHeight="1" hidden="1">
      <c r="A49" s="140" t="s">
        <v>144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</row>
    <row r="50" spans="1:83" s="1" customFormat="1" ht="8.2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s="1" customFormat="1" ht="8.25" customHeight="1" hidden="1">
      <c r="A51" s="93" t="s">
        <v>39</v>
      </c>
      <c r="B51" s="93" t="s">
        <v>4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5"/>
      <c r="AG51" s="93" t="s">
        <v>59</v>
      </c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/>
      <c r="AU51" s="93" t="s">
        <v>60</v>
      </c>
      <c r="AV51" s="94"/>
      <c r="AW51" s="94"/>
      <c r="AX51" s="94"/>
      <c r="AY51" s="94"/>
      <c r="AZ51" s="94"/>
      <c r="BA51" s="94"/>
      <c r="BB51" s="94"/>
      <c r="BC51" s="95"/>
      <c r="BD51" s="93" t="s">
        <v>52</v>
      </c>
      <c r="BE51" s="94"/>
      <c r="BF51" s="94"/>
      <c r="BG51" s="94"/>
      <c r="BH51" s="94"/>
      <c r="BI51" s="94"/>
      <c r="BJ51" s="94"/>
      <c r="BK51" s="94"/>
      <c r="BL51" s="95"/>
      <c r="BM51" s="93" t="s">
        <v>53</v>
      </c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5"/>
      <c r="BZ51" s="120" t="s">
        <v>66</v>
      </c>
      <c r="CA51" s="120"/>
      <c r="CB51" s="120"/>
      <c r="CC51" s="120"/>
      <c r="CD51" s="120"/>
      <c r="CE51" s="120"/>
    </row>
    <row r="52" spans="1:83" s="1" customFormat="1" ht="8.25" customHeight="1" hidden="1">
      <c r="A52" s="96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8"/>
      <c r="AG52" s="96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8"/>
      <c r="AU52" s="96"/>
      <c r="AV52" s="97"/>
      <c r="AW52" s="97"/>
      <c r="AX52" s="97"/>
      <c r="AY52" s="97"/>
      <c r="AZ52" s="97"/>
      <c r="BA52" s="97"/>
      <c r="BB52" s="97"/>
      <c r="BC52" s="98"/>
      <c r="BD52" s="96"/>
      <c r="BE52" s="97"/>
      <c r="BF52" s="97"/>
      <c r="BG52" s="97"/>
      <c r="BH52" s="97"/>
      <c r="BI52" s="97"/>
      <c r="BJ52" s="97"/>
      <c r="BK52" s="97"/>
      <c r="BL52" s="98"/>
      <c r="BM52" s="96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8"/>
      <c r="BZ52" s="125" t="s">
        <v>36</v>
      </c>
      <c r="CA52" s="125"/>
      <c r="CB52" s="142" t="s">
        <v>46</v>
      </c>
      <c r="CC52" s="143"/>
      <c r="CD52" s="144"/>
      <c r="CE52" s="126" t="s">
        <v>47</v>
      </c>
    </row>
    <row r="53" spans="1:83" s="1" customFormat="1" ht="8.25" customHeight="1" hidden="1">
      <c r="A53" s="96"/>
      <c r="B53" s="9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8"/>
      <c r="AG53" s="96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8"/>
      <c r="AU53" s="96"/>
      <c r="AV53" s="97"/>
      <c r="AW53" s="97"/>
      <c r="AX53" s="97"/>
      <c r="AY53" s="97"/>
      <c r="AZ53" s="97"/>
      <c r="BA53" s="97"/>
      <c r="BB53" s="97"/>
      <c r="BC53" s="98"/>
      <c r="BD53" s="96"/>
      <c r="BE53" s="97"/>
      <c r="BF53" s="97"/>
      <c r="BG53" s="97"/>
      <c r="BH53" s="97"/>
      <c r="BI53" s="97"/>
      <c r="BJ53" s="97"/>
      <c r="BK53" s="97"/>
      <c r="BL53" s="98"/>
      <c r="BM53" s="96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8"/>
      <c r="BZ53" s="124" t="s">
        <v>44</v>
      </c>
      <c r="CA53" s="124" t="s">
        <v>45</v>
      </c>
      <c r="CB53" s="135" t="s">
        <v>83</v>
      </c>
      <c r="CC53" s="124" t="s">
        <v>44</v>
      </c>
      <c r="CD53" s="124" t="s">
        <v>45</v>
      </c>
      <c r="CE53" s="127"/>
    </row>
    <row r="54" spans="1:83" s="1" customFormat="1" ht="8.25" customHeight="1" hidden="1">
      <c r="A54" s="99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1"/>
      <c r="AG54" s="99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1"/>
      <c r="AU54" s="99"/>
      <c r="AV54" s="100"/>
      <c r="AW54" s="100"/>
      <c r="AX54" s="100"/>
      <c r="AY54" s="100"/>
      <c r="AZ54" s="100"/>
      <c r="BA54" s="100"/>
      <c r="BB54" s="100"/>
      <c r="BC54" s="101"/>
      <c r="BD54" s="99"/>
      <c r="BE54" s="100"/>
      <c r="BF54" s="100"/>
      <c r="BG54" s="100"/>
      <c r="BH54" s="100"/>
      <c r="BI54" s="100"/>
      <c r="BJ54" s="100"/>
      <c r="BK54" s="100"/>
      <c r="BL54" s="101"/>
      <c r="BM54" s="99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1"/>
      <c r="BZ54" s="124"/>
      <c r="CA54" s="124"/>
      <c r="CB54" s="136"/>
      <c r="CC54" s="124"/>
      <c r="CD54" s="124"/>
      <c r="CE54" s="128"/>
    </row>
    <row r="55" spans="1:83" s="1" customFormat="1" ht="8.25" customHeight="1" hidden="1">
      <c r="A55" s="16">
        <v>1</v>
      </c>
      <c r="B55" s="92">
        <v>2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>
        <v>3</v>
      </c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>
        <v>4</v>
      </c>
      <c r="AV55" s="92"/>
      <c r="AW55" s="92"/>
      <c r="AX55" s="92"/>
      <c r="AY55" s="92"/>
      <c r="AZ55" s="92"/>
      <c r="BA55" s="92"/>
      <c r="BB55" s="92"/>
      <c r="BC55" s="92"/>
      <c r="BD55" s="92">
        <v>5</v>
      </c>
      <c r="BE55" s="92"/>
      <c r="BF55" s="92"/>
      <c r="BG55" s="92"/>
      <c r="BH55" s="92"/>
      <c r="BI55" s="92"/>
      <c r="BJ55" s="92"/>
      <c r="BK55" s="92"/>
      <c r="BL55" s="92"/>
      <c r="BM55" s="92" t="s">
        <v>54</v>
      </c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15">
        <v>7</v>
      </c>
      <c r="CA55" s="15">
        <v>8</v>
      </c>
      <c r="CB55" s="15">
        <v>9</v>
      </c>
      <c r="CC55" s="15">
        <v>10</v>
      </c>
      <c r="CD55" s="15">
        <v>11</v>
      </c>
      <c r="CE55" s="15">
        <v>12</v>
      </c>
    </row>
    <row r="56" spans="1:83" s="1" customFormat="1" ht="8.25" customHeight="1" hidden="1">
      <c r="A56" s="17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17"/>
      <c r="CA56" s="17"/>
      <c r="CB56" s="17"/>
      <c r="CC56" s="17"/>
      <c r="CD56" s="17"/>
      <c r="CE56" s="17"/>
    </row>
    <row r="57" spans="1:83" s="1" customFormat="1" ht="8.25" customHeight="1" hidden="1">
      <c r="A57" s="17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17"/>
      <c r="CA57" s="17"/>
      <c r="CB57" s="17"/>
      <c r="CC57" s="17"/>
      <c r="CD57" s="17"/>
      <c r="CE57" s="17"/>
    </row>
    <row r="58" spans="1:83" s="1" customFormat="1" ht="8.25" customHeight="1" hidden="1">
      <c r="A58" s="17"/>
      <c r="B58" s="89" t="s">
        <v>87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120" t="s">
        <v>3</v>
      </c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 t="s">
        <v>3</v>
      </c>
      <c r="AV58" s="120"/>
      <c r="AW58" s="120"/>
      <c r="AX58" s="120"/>
      <c r="AY58" s="120"/>
      <c r="AZ58" s="120"/>
      <c r="BA58" s="120"/>
      <c r="BB58" s="120"/>
      <c r="BC58" s="120"/>
      <c r="BD58" s="120" t="s">
        <v>3</v>
      </c>
      <c r="BE58" s="120"/>
      <c r="BF58" s="120"/>
      <c r="BG58" s="120"/>
      <c r="BH58" s="120"/>
      <c r="BI58" s="120"/>
      <c r="BJ58" s="120"/>
      <c r="BK58" s="120"/>
      <c r="BL58" s="120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17"/>
      <c r="CA58" s="17"/>
      <c r="CB58" s="17"/>
      <c r="CC58" s="17"/>
      <c r="CD58" s="17"/>
      <c r="CE58" s="17"/>
    </row>
    <row r="59" s="1" customFormat="1" ht="8.25" customHeight="1" hidden="1"/>
    <row r="60" s="1" customFormat="1" ht="8.25" customHeight="1" hidden="1"/>
    <row r="61" s="1" customFormat="1" ht="6.75" customHeight="1" hidden="1"/>
    <row r="62" s="1" customFormat="1" ht="18.75" customHeight="1" hidden="1"/>
    <row r="63" s="1" customFormat="1" ht="15" customHeight="1" hidden="1"/>
    <row r="64" s="1" customFormat="1" ht="8.25" customHeight="1"/>
    <row r="65" spans="1:83" s="3" customFormat="1" ht="20.25" customHeight="1">
      <c r="A65" s="123" t="s">
        <v>145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</row>
    <row r="66" spans="1:83" ht="21" customHeight="1">
      <c r="A66" s="123" t="s">
        <v>61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</row>
    <row r="67" s="4" customFormat="1" ht="8.25" customHeight="1"/>
    <row r="68" spans="1:83" ht="8.25" customHeight="1">
      <c r="A68" s="129" t="s">
        <v>39</v>
      </c>
      <c r="B68" s="111" t="s">
        <v>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3"/>
      <c r="BB68" s="93" t="s">
        <v>84</v>
      </c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5"/>
      <c r="BN68" s="93" t="s">
        <v>85</v>
      </c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5"/>
      <c r="BZ68" s="120" t="s">
        <v>66</v>
      </c>
      <c r="CA68" s="120"/>
      <c r="CB68" s="120"/>
      <c r="CC68" s="120"/>
      <c r="CD68" s="120"/>
      <c r="CE68" s="120"/>
    </row>
    <row r="69" spans="1:83" ht="52.5" customHeight="1">
      <c r="A69" s="130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6"/>
      <c r="BB69" s="96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8"/>
      <c r="BN69" s="96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8"/>
      <c r="BZ69" s="125" t="s">
        <v>36</v>
      </c>
      <c r="CA69" s="125"/>
      <c r="CB69" s="142" t="s">
        <v>46</v>
      </c>
      <c r="CC69" s="143"/>
      <c r="CD69" s="144"/>
      <c r="CE69" s="126" t="s">
        <v>47</v>
      </c>
    </row>
    <row r="70" spans="1:83" ht="35.25" customHeight="1">
      <c r="A70" s="130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6"/>
      <c r="BB70" s="96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8"/>
      <c r="BN70" s="96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8"/>
      <c r="BZ70" s="124" t="s">
        <v>44</v>
      </c>
      <c r="CA70" s="124" t="s">
        <v>45</v>
      </c>
      <c r="CB70" s="135" t="s">
        <v>83</v>
      </c>
      <c r="CC70" s="124" t="s">
        <v>44</v>
      </c>
      <c r="CD70" s="124" t="s">
        <v>45</v>
      </c>
      <c r="CE70" s="127"/>
    </row>
    <row r="71" spans="1:83" ht="27" customHeight="1">
      <c r="A71" s="131"/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9"/>
      <c r="BB71" s="99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1"/>
      <c r="BN71" s="99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1"/>
      <c r="BZ71" s="124"/>
      <c r="CA71" s="124"/>
      <c r="CB71" s="136"/>
      <c r="CC71" s="124"/>
      <c r="CD71" s="124"/>
      <c r="CE71" s="128"/>
    </row>
    <row r="72" spans="1:83" ht="24" customHeight="1">
      <c r="A72" s="16">
        <v>1</v>
      </c>
      <c r="B72" s="92">
        <v>2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120">
        <v>3</v>
      </c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92">
        <v>4</v>
      </c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15">
        <v>5</v>
      </c>
      <c r="CA72" s="15">
        <v>6</v>
      </c>
      <c r="CB72" s="17"/>
      <c r="CC72" s="15">
        <v>7</v>
      </c>
      <c r="CD72" s="15">
        <v>8</v>
      </c>
      <c r="CE72" s="15">
        <v>9</v>
      </c>
    </row>
    <row r="73" spans="1:83" ht="18" customHeight="1">
      <c r="A73" s="12">
        <v>1</v>
      </c>
      <c r="B73" s="148" t="s">
        <v>9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50"/>
      <c r="BB73" s="120" t="s">
        <v>3</v>
      </c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17"/>
      <c r="CA73" s="17"/>
      <c r="CB73" s="17"/>
      <c r="CC73" s="17"/>
      <c r="CD73" s="17"/>
      <c r="CE73" s="17"/>
    </row>
    <row r="74" spans="1:83" ht="8.25" customHeight="1">
      <c r="A74" s="111" t="s">
        <v>8</v>
      </c>
      <c r="B74" s="151" t="s">
        <v>2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3"/>
      <c r="BB74" s="141">
        <v>1490155.86</v>
      </c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09">
        <f>CA74+CE74</f>
        <v>327834.2892</v>
      </c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4">
        <f>BB74*22%</f>
        <v>327834.2892</v>
      </c>
      <c r="CB74" s="102"/>
      <c r="CC74" s="102"/>
      <c r="CD74" s="102"/>
      <c r="CE74" s="102"/>
    </row>
    <row r="75" spans="1:83" ht="18" customHeight="1">
      <c r="A75" s="117"/>
      <c r="B75" s="154" t="s">
        <v>10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6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5"/>
      <c r="CB75" s="103"/>
      <c r="CC75" s="103"/>
      <c r="CD75" s="103"/>
      <c r="CE75" s="103"/>
    </row>
    <row r="76" spans="1:83" ht="8.25" customHeight="1">
      <c r="A76" s="11" t="s">
        <v>12</v>
      </c>
      <c r="B76" s="158" t="s">
        <v>11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6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25"/>
      <c r="CA76" s="25"/>
      <c r="CB76" s="15"/>
      <c r="CC76" s="15"/>
      <c r="CD76" s="15"/>
      <c r="CE76" s="15"/>
    </row>
    <row r="77" spans="1:83" ht="15.75" customHeight="1">
      <c r="A77" s="111" t="s">
        <v>13</v>
      </c>
      <c r="B77" s="151" t="s">
        <v>14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3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4"/>
      <c r="CB77" s="102"/>
      <c r="CC77" s="102"/>
      <c r="CD77" s="102"/>
      <c r="CE77" s="102"/>
    </row>
    <row r="78" spans="1:83" ht="15" customHeight="1">
      <c r="A78" s="117"/>
      <c r="B78" s="154" t="s">
        <v>15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6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5"/>
      <c r="CB78" s="103"/>
      <c r="CC78" s="103"/>
      <c r="CD78" s="103"/>
      <c r="CE78" s="103"/>
    </row>
    <row r="79" spans="1:83" ht="16.5" customHeight="1">
      <c r="A79" s="111">
        <v>2</v>
      </c>
      <c r="B79" s="145" t="s">
        <v>16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7"/>
      <c r="BB79" s="120" t="s">
        <v>3</v>
      </c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4"/>
      <c r="CB79" s="102"/>
      <c r="CC79" s="102"/>
      <c r="CD79" s="102"/>
      <c r="CE79" s="102"/>
    </row>
    <row r="80" spans="1:83" ht="18.75" customHeight="1">
      <c r="A80" s="117"/>
      <c r="B80" s="148" t="s">
        <v>31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5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5"/>
      <c r="CB80" s="103"/>
      <c r="CC80" s="103"/>
      <c r="CD80" s="103"/>
      <c r="CE80" s="103"/>
    </row>
    <row r="81" spans="1:83" ht="8.25" customHeight="1">
      <c r="A81" s="111" t="s">
        <v>18</v>
      </c>
      <c r="B81" s="151" t="s">
        <v>2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3"/>
      <c r="BB81" s="120">
        <v>1490155.86</v>
      </c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09">
        <f>CA81+CE81</f>
        <v>43214.51994</v>
      </c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4">
        <f>BB81*2.9%</f>
        <v>43214.51994</v>
      </c>
      <c r="CB81" s="102"/>
      <c r="CC81" s="102"/>
      <c r="CD81" s="102"/>
      <c r="CE81" s="102"/>
    </row>
    <row r="82" spans="1:83" ht="18" customHeight="1">
      <c r="A82" s="114"/>
      <c r="B82" s="164" t="s">
        <v>17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6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22"/>
      <c r="CB82" s="121"/>
      <c r="CC82" s="121"/>
      <c r="CD82" s="121"/>
      <c r="CE82" s="121"/>
    </row>
    <row r="83" spans="1:83" ht="16.5" customHeight="1">
      <c r="A83" s="117"/>
      <c r="B83" s="154" t="s">
        <v>32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6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5"/>
      <c r="CB83" s="103"/>
      <c r="CC83" s="103"/>
      <c r="CD83" s="103"/>
      <c r="CE83" s="103"/>
    </row>
    <row r="84" spans="1:83" ht="17.25" customHeight="1">
      <c r="A84" s="111" t="s">
        <v>21</v>
      </c>
      <c r="B84" s="151" t="s">
        <v>19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3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4"/>
      <c r="CB84" s="102"/>
      <c r="CC84" s="102"/>
      <c r="CD84" s="102"/>
      <c r="CE84" s="102"/>
    </row>
    <row r="85" spans="1:83" ht="13.5" customHeight="1">
      <c r="A85" s="117"/>
      <c r="B85" s="154" t="s">
        <v>20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6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5"/>
      <c r="CB85" s="103"/>
      <c r="CC85" s="103"/>
      <c r="CD85" s="103"/>
      <c r="CE85" s="103"/>
    </row>
    <row r="86" spans="1:83" ht="15" customHeight="1">
      <c r="A86" s="111" t="s">
        <v>24</v>
      </c>
      <c r="B86" s="151" t="s">
        <v>22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3"/>
      <c r="BB86" s="120">
        <v>1490155.86</v>
      </c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09">
        <f>CA86+CE86</f>
        <v>2980.31172</v>
      </c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4">
        <f>BB86*0.2%</f>
        <v>2980.31172</v>
      </c>
      <c r="CB86" s="102"/>
      <c r="CC86" s="102"/>
      <c r="CD86" s="102"/>
      <c r="CE86" s="102"/>
    </row>
    <row r="87" spans="1:83" ht="18" customHeight="1">
      <c r="A87" s="117"/>
      <c r="B87" s="154" t="s">
        <v>23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6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5"/>
      <c r="CB87" s="103"/>
      <c r="CC87" s="103"/>
      <c r="CD87" s="103"/>
      <c r="CE87" s="103"/>
    </row>
    <row r="88" spans="1:83" ht="16.5" customHeight="1">
      <c r="A88" s="111" t="s">
        <v>25</v>
      </c>
      <c r="B88" s="151" t="s">
        <v>22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3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4"/>
      <c r="CB88" s="102"/>
      <c r="CC88" s="102"/>
      <c r="CD88" s="102"/>
      <c r="CE88" s="102"/>
    </row>
    <row r="89" spans="1:83" ht="15.75" customHeight="1">
      <c r="A89" s="117"/>
      <c r="B89" s="154" t="s">
        <v>27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6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5"/>
      <c r="CB89" s="103"/>
      <c r="CC89" s="103"/>
      <c r="CD89" s="103"/>
      <c r="CE89" s="103"/>
    </row>
    <row r="90" spans="1:83" ht="16.5" customHeight="1">
      <c r="A90" s="111" t="s">
        <v>26</v>
      </c>
      <c r="B90" s="151" t="s">
        <v>22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3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4"/>
      <c r="CB90" s="102"/>
      <c r="CC90" s="102"/>
      <c r="CD90" s="102"/>
      <c r="CE90" s="102"/>
    </row>
    <row r="91" spans="1:83" ht="18.75" customHeight="1">
      <c r="A91" s="117"/>
      <c r="B91" s="154" t="s">
        <v>27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6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5"/>
      <c r="CB91" s="103"/>
      <c r="CC91" s="103"/>
      <c r="CD91" s="103"/>
      <c r="CE91" s="103"/>
    </row>
    <row r="92" spans="1:83" ht="15" customHeight="1">
      <c r="A92" s="111">
        <v>3</v>
      </c>
      <c r="B92" s="145" t="s">
        <v>28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7"/>
      <c r="BB92" s="120">
        <v>1490155.86</v>
      </c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09">
        <f>CA92+CE92</f>
        <v>75997.94886</v>
      </c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4">
        <f>BB92*5.1%</f>
        <v>75997.94886</v>
      </c>
      <c r="CB92" s="102"/>
      <c r="CC92" s="102"/>
      <c r="CD92" s="102"/>
      <c r="CE92" s="102"/>
    </row>
    <row r="93" spans="1:83" ht="18" customHeight="1">
      <c r="A93" s="117"/>
      <c r="B93" s="148" t="s">
        <v>29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5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5"/>
      <c r="CB93" s="103"/>
      <c r="CC93" s="103"/>
      <c r="CD93" s="103"/>
      <c r="CE93" s="103"/>
    </row>
    <row r="94" spans="1:83" ht="19.5" customHeight="1">
      <c r="A94" s="11"/>
      <c r="B94" s="161" t="s">
        <v>139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3"/>
      <c r="BB94" s="120" t="s">
        <v>3</v>
      </c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57">
        <f>SUM(BN74:BY93)</f>
        <v>450027.06972</v>
      </c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23"/>
      <c r="CA94" s="23">
        <f>SUM(CA74:CA93)</f>
        <v>450027.06972</v>
      </c>
      <c r="CB94" s="21"/>
      <c r="CC94" s="21"/>
      <c r="CD94" s="21"/>
      <c r="CE94" s="23"/>
    </row>
    <row r="95" spans="1:15" ht="8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77" s="9" customFormat="1" ht="8.25" customHeight="1">
      <c r="A96" s="167" t="s">
        <v>33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</row>
    <row r="97" spans="1:77" s="9" customFormat="1" ht="8.25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</row>
    <row r="98" spans="1:77" s="9" customFormat="1" ht="30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</row>
  </sheetData>
  <sheetProtection/>
  <mergeCells count="274">
    <mergeCell ref="CB84:CB85"/>
    <mergeCell ref="CB86:CB87"/>
    <mergeCell ref="CB88:CB89"/>
    <mergeCell ref="CB90:CB91"/>
    <mergeCell ref="CB92:CB93"/>
    <mergeCell ref="BB68:BM71"/>
    <mergeCell ref="BN68:BY71"/>
    <mergeCell ref="CB69:CD69"/>
    <mergeCell ref="CB70:CB71"/>
    <mergeCell ref="CB74:CB75"/>
    <mergeCell ref="CB79:CB80"/>
    <mergeCell ref="CB81:CB83"/>
    <mergeCell ref="A13:AF13"/>
    <mergeCell ref="CB4:CD4"/>
    <mergeCell ref="CB5:CB6"/>
    <mergeCell ref="CB21:CD21"/>
    <mergeCell ref="CB22:CB23"/>
    <mergeCell ref="CB38:CD38"/>
    <mergeCell ref="A26:AF26"/>
    <mergeCell ref="BN76:BY76"/>
    <mergeCell ref="A96:BY98"/>
    <mergeCell ref="BN88:BY89"/>
    <mergeCell ref="A90:A91"/>
    <mergeCell ref="BB90:BM91"/>
    <mergeCell ref="BN90:BY91"/>
    <mergeCell ref="B55:AF55"/>
    <mergeCell ref="AG55:AT55"/>
    <mergeCell ref="B68:BA71"/>
    <mergeCell ref="A68:A71"/>
    <mergeCell ref="BB77:BM78"/>
    <mergeCell ref="A81:A83"/>
    <mergeCell ref="A84:A85"/>
    <mergeCell ref="BB84:BM85"/>
    <mergeCell ref="BN84:BY85"/>
    <mergeCell ref="B85:BA85"/>
    <mergeCell ref="B84:BA84"/>
    <mergeCell ref="B81:BA81"/>
    <mergeCell ref="B82:BA82"/>
    <mergeCell ref="A79:A80"/>
    <mergeCell ref="A92:A93"/>
    <mergeCell ref="B93:BA93"/>
    <mergeCell ref="BB92:BM93"/>
    <mergeCell ref="BN77:BY78"/>
    <mergeCell ref="A77:A78"/>
    <mergeCell ref="A88:A89"/>
    <mergeCell ref="A86:A87"/>
    <mergeCell ref="BN86:BY87"/>
    <mergeCell ref="B83:BA83"/>
    <mergeCell ref="B76:BA76"/>
    <mergeCell ref="BB76:BM76"/>
    <mergeCell ref="B77:BA77"/>
    <mergeCell ref="B78:BA78"/>
    <mergeCell ref="B94:BA94"/>
    <mergeCell ref="BB94:BM94"/>
    <mergeCell ref="B87:BA87"/>
    <mergeCell ref="BB86:BM87"/>
    <mergeCell ref="B86:BA86"/>
    <mergeCell ref="BB81:BM83"/>
    <mergeCell ref="BN94:BY94"/>
    <mergeCell ref="B91:BA91"/>
    <mergeCell ref="B92:BA92"/>
    <mergeCell ref="BN92:BY93"/>
    <mergeCell ref="B89:BA89"/>
    <mergeCell ref="B90:BA90"/>
    <mergeCell ref="BB88:BM89"/>
    <mergeCell ref="B88:BA88"/>
    <mergeCell ref="B79:BA79"/>
    <mergeCell ref="B80:BA80"/>
    <mergeCell ref="BB79:BM80"/>
    <mergeCell ref="BN79:BY80"/>
    <mergeCell ref="BN81:BY83"/>
    <mergeCell ref="B73:BA73"/>
    <mergeCell ref="BB73:BM73"/>
    <mergeCell ref="BN73:BY73"/>
    <mergeCell ref="B74:BA74"/>
    <mergeCell ref="B75:BA75"/>
    <mergeCell ref="A74:A75"/>
    <mergeCell ref="BN74:BY75"/>
    <mergeCell ref="BB74:BM75"/>
    <mergeCell ref="BZ51:CE51"/>
    <mergeCell ref="A65:CE65"/>
    <mergeCell ref="CB52:CD52"/>
    <mergeCell ref="CB53:CB54"/>
    <mergeCell ref="BD55:BL55"/>
    <mergeCell ref="B56:AF56"/>
    <mergeCell ref="BM55:BY55"/>
    <mergeCell ref="B72:BA72"/>
    <mergeCell ref="BB72:BM72"/>
    <mergeCell ref="BN72:BY72"/>
    <mergeCell ref="BD56:BL56"/>
    <mergeCell ref="BM56:BY56"/>
    <mergeCell ref="B57:AF57"/>
    <mergeCell ref="AG57:AT57"/>
    <mergeCell ref="BM42:BY42"/>
    <mergeCell ref="A49:CE49"/>
    <mergeCell ref="A51:A54"/>
    <mergeCell ref="AU55:BC55"/>
    <mergeCell ref="AG56:AT56"/>
    <mergeCell ref="AU56:BC56"/>
    <mergeCell ref="B51:AF54"/>
    <mergeCell ref="AG51:AT54"/>
    <mergeCell ref="B43:AF43"/>
    <mergeCell ref="BM43:BY43"/>
    <mergeCell ref="AG44:BA44"/>
    <mergeCell ref="BB44:BL44"/>
    <mergeCell ref="A44:AF44"/>
    <mergeCell ref="AU51:BC54"/>
    <mergeCell ref="BD51:BL54"/>
    <mergeCell ref="BM51:BY54"/>
    <mergeCell ref="CA39:CA40"/>
    <mergeCell ref="CC39:CC40"/>
    <mergeCell ref="CD39:CD40"/>
    <mergeCell ref="B42:AF42"/>
    <mergeCell ref="CB39:CB40"/>
    <mergeCell ref="BM41:BY41"/>
    <mergeCell ref="AG41:BA41"/>
    <mergeCell ref="BB41:BL41"/>
    <mergeCell ref="AG42:BA42"/>
    <mergeCell ref="BB42:BL42"/>
    <mergeCell ref="BM8:BY8"/>
    <mergeCell ref="B9:AF9"/>
    <mergeCell ref="AG9:AT9"/>
    <mergeCell ref="AU9:BC9"/>
    <mergeCell ref="BD9:BL9"/>
    <mergeCell ref="A10:AF10"/>
    <mergeCell ref="B8:AF8"/>
    <mergeCell ref="AG8:AT8"/>
    <mergeCell ref="AU8:BC8"/>
    <mergeCell ref="A20:A23"/>
    <mergeCell ref="B24:AF24"/>
    <mergeCell ref="A37:A40"/>
    <mergeCell ref="B37:AF40"/>
    <mergeCell ref="BB37:BL40"/>
    <mergeCell ref="BM37:BY40"/>
    <mergeCell ref="BM24:BY24"/>
    <mergeCell ref="AR25:BA25"/>
    <mergeCell ref="B25:AF25"/>
    <mergeCell ref="AG25:AQ25"/>
    <mergeCell ref="AR24:BA24"/>
    <mergeCell ref="BM11:BY11"/>
    <mergeCell ref="BZ37:CE37"/>
    <mergeCell ref="BZ38:CA38"/>
    <mergeCell ref="BZ22:BZ23"/>
    <mergeCell ref="CA22:CA23"/>
    <mergeCell ref="CC22:CC23"/>
    <mergeCell ref="CD22:CD23"/>
    <mergeCell ref="CE38:CE40"/>
    <mergeCell ref="BZ39:BZ40"/>
    <mergeCell ref="AG20:AQ23"/>
    <mergeCell ref="AR20:BA23"/>
    <mergeCell ref="BB20:BL23"/>
    <mergeCell ref="AG12:AT12"/>
    <mergeCell ref="AU12:BC12"/>
    <mergeCell ref="BD8:BL8"/>
    <mergeCell ref="B3:AF6"/>
    <mergeCell ref="BM9:BY9"/>
    <mergeCell ref="AG7:AT7"/>
    <mergeCell ref="AU7:BC7"/>
    <mergeCell ref="BM13:BY13"/>
    <mergeCell ref="B11:AF11"/>
    <mergeCell ref="AG11:AT11"/>
    <mergeCell ref="AU11:BC11"/>
    <mergeCell ref="AG3:AT6"/>
    <mergeCell ref="BM10:BY10"/>
    <mergeCell ref="A3:A6"/>
    <mergeCell ref="BD7:BL7"/>
    <mergeCell ref="CD5:CD6"/>
    <mergeCell ref="CE4:CE6"/>
    <mergeCell ref="BZ20:CE20"/>
    <mergeCell ref="BZ21:CA21"/>
    <mergeCell ref="CE21:CE23"/>
    <mergeCell ref="B7:AF7"/>
    <mergeCell ref="AG10:AT10"/>
    <mergeCell ref="AU10:BC10"/>
    <mergeCell ref="CC53:CC54"/>
    <mergeCell ref="CD53:CD54"/>
    <mergeCell ref="AU3:BC6"/>
    <mergeCell ref="BD3:BL6"/>
    <mergeCell ref="BM3:BY6"/>
    <mergeCell ref="BM7:BY7"/>
    <mergeCell ref="BD11:BL11"/>
    <mergeCell ref="BD10:BL10"/>
    <mergeCell ref="CA5:CA6"/>
    <mergeCell ref="CC5:CC6"/>
    <mergeCell ref="BZ69:CA69"/>
    <mergeCell ref="CE69:CE71"/>
    <mergeCell ref="BZ70:BZ71"/>
    <mergeCell ref="BZ3:CE3"/>
    <mergeCell ref="BZ4:CA4"/>
    <mergeCell ref="BZ5:BZ6"/>
    <mergeCell ref="BZ52:CA52"/>
    <mergeCell ref="CE52:CE54"/>
    <mergeCell ref="BZ53:BZ54"/>
    <mergeCell ref="CA53:CA54"/>
    <mergeCell ref="CC74:CC75"/>
    <mergeCell ref="CD74:CD75"/>
    <mergeCell ref="CE74:CE75"/>
    <mergeCell ref="AU57:BC57"/>
    <mergeCell ref="BD57:BL57"/>
    <mergeCell ref="BM57:BY57"/>
    <mergeCell ref="BD58:BL58"/>
    <mergeCell ref="BM58:BY58"/>
    <mergeCell ref="CA70:CA71"/>
    <mergeCell ref="BZ68:CE68"/>
    <mergeCell ref="CE77:CE78"/>
    <mergeCell ref="CE79:CE80"/>
    <mergeCell ref="CC81:CC83"/>
    <mergeCell ref="CD81:CD83"/>
    <mergeCell ref="CB77:CB78"/>
    <mergeCell ref="A66:CE66"/>
    <mergeCell ref="CC70:CC71"/>
    <mergeCell ref="CD70:CD71"/>
    <mergeCell ref="BZ74:BZ75"/>
    <mergeCell ref="CA74:CA75"/>
    <mergeCell ref="CA90:CA91"/>
    <mergeCell ref="CC90:CC91"/>
    <mergeCell ref="CD90:CD91"/>
    <mergeCell ref="CA77:CA78"/>
    <mergeCell ref="CC77:CC78"/>
    <mergeCell ref="CD77:CD78"/>
    <mergeCell ref="CA79:CA80"/>
    <mergeCell ref="CC79:CC80"/>
    <mergeCell ref="CD79:CD80"/>
    <mergeCell ref="CA81:CA83"/>
    <mergeCell ref="CE90:CE91"/>
    <mergeCell ref="CE81:CE83"/>
    <mergeCell ref="CA84:CA85"/>
    <mergeCell ref="CC84:CC85"/>
    <mergeCell ref="CD84:CD85"/>
    <mergeCell ref="CE84:CE85"/>
    <mergeCell ref="CA86:CA87"/>
    <mergeCell ref="CC86:CC87"/>
    <mergeCell ref="CD86:CD87"/>
    <mergeCell ref="CE86:CE87"/>
    <mergeCell ref="BZ88:BZ89"/>
    <mergeCell ref="BZ90:BZ91"/>
    <mergeCell ref="BZ86:BZ87"/>
    <mergeCell ref="B58:AF58"/>
    <mergeCell ref="AG58:AT58"/>
    <mergeCell ref="AU58:BC58"/>
    <mergeCell ref="BZ77:BZ78"/>
    <mergeCell ref="BZ79:BZ80"/>
    <mergeCell ref="BZ81:BZ83"/>
    <mergeCell ref="BZ84:BZ85"/>
    <mergeCell ref="B12:AF12"/>
    <mergeCell ref="BD12:BL12"/>
    <mergeCell ref="BM12:BY12"/>
    <mergeCell ref="B20:AF23"/>
    <mergeCell ref="BM20:BY23"/>
    <mergeCell ref="AG24:AQ24"/>
    <mergeCell ref="BB24:BL24"/>
    <mergeCell ref="AG13:AT13"/>
    <mergeCell ref="AU13:BC13"/>
    <mergeCell ref="BD13:BL13"/>
    <mergeCell ref="CE92:CE93"/>
    <mergeCell ref="CA88:CA89"/>
    <mergeCell ref="CC88:CC89"/>
    <mergeCell ref="CD88:CD89"/>
    <mergeCell ref="CE88:CE89"/>
    <mergeCell ref="AG43:BA43"/>
    <mergeCell ref="CA92:CA93"/>
    <mergeCell ref="CC92:CC93"/>
    <mergeCell ref="CD92:CD93"/>
    <mergeCell ref="BZ92:BZ93"/>
    <mergeCell ref="BM25:BY25"/>
    <mergeCell ref="BB25:BL25"/>
    <mergeCell ref="BM44:BY44"/>
    <mergeCell ref="BB43:BL43"/>
    <mergeCell ref="BM26:BY26"/>
    <mergeCell ref="B41:AF41"/>
    <mergeCell ref="BB26:BL26"/>
    <mergeCell ref="AG37:BA40"/>
    <mergeCell ref="AR26:BA26"/>
    <mergeCell ref="AG26:AQ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F10E6"/>
  </sheetPr>
  <dimension ref="A1:CH48"/>
  <sheetViews>
    <sheetView zoomScalePageLayoutView="0" workbookViewId="0" topLeftCell="A13">
      <selection activeCell="A34" sqref="A34:IV48"/>
    </sheetView>
  </sheetViews>
  <sheetFormatPr defaultColWidth="1.12109375" defaultRowHeight="12.75"/>
  <cols>
    <col min="1" max="1" width="2.125" style="7" bestFit="1" customWidth="1"/>
    <col min="2" max="80" width="1.12109375" style="7" customWidth="1"/>
    <col min="81" max="81" width="9.875" style="7" customWidth="1"/>
    <col min="82" max="82" width="9.00390625" style="7" customWidth="1"/>
    <col min="83" max="83" width="8.625" style="7" customWidth="1"/>
    <col min="84" max="84" width="9.00390625" style="7" customWidth="1"/>
    <col min="85" max="85" width="8.125" style="7" customWidth="1"/>
    <col min="86" max="86" width="13.375" style="7" customWidth="1"/>
    <col min="87" max="16384" width="1.12109375" style="7" customWidth="1"/>
  </cols>
  <sheetData>
    <row r="1" ht="15" hidden="1">
      <c r="A1" s="3" t="s">
        <v>117</v>
      </c>
    </row>
    <row r="2" ht="12.75" hidden="1"/>
    <row r="3" spans="1:86" s="3" customFormat="1" ht="45.75" customHeight="1" hidden="1">
      <c r="A3" s="140" t="s">
        <v>118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</row>
    <row r="4" spans="1:80" s="6" customFormat="1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6" ht="12.75" hidden="1">
      <c r="A5" s="125" t="s">
        <v>39</v>
      </c>
      <c r="B5" s="125"/>
      <c r="C5" s="125"/>
      <c r="D5" s="125"/>
      <c r="E5" s="92" t="s">
        <v>4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125" t="s">
        <v>111</v>
      </c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 t="s">
        <v>60</v>
      </c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 t="s">
        <v>100</v>
      </c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0" t="s">
        <v>66</v>
      </c>
      <c r="CD5" s="120"/>
      <c r="CE5" s="120"/>
      <c r="CF5" s="120"/>
      <c r="CG5" s="120"/>
      <c r="CH5" s="120"/>
    </row>
    <row r="6" spans="1:86" ht="89.25" customHeight="1" hidden="1">
      <c r="A6" s="125"/>
      <c r="B6" s="125"/>
      <c r="C6" s="125"/>
      <c r="D6" s="125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 t="s">
        <v>36</v>
      </c>
      <c r="CD6" s="125"/>
      <c r="CE6" s="125" t="s">
        <v>46</v>
      </c>
      <c r="CF6" s="125"/>
      <c r="CG6" s="125"/>
      <c r="CH6" s="125" t="s">
        <v>47</v>
      </c>
    </row>
    <row r="7" spans="1:86" ht="12.75" hidden="1">
      <c r="A7" s="125"/>
      <c r="B7" s="125"/>
      <c r="C7" s="125"/>
      <c r="D7" s="12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4" t="s">
        <v>44</v>
      </c>
      <c r="CD7" s="124" t="s">
        <v>45</v>
      </c>
      <c r="CE7" s="124" t="s">
        <v>83</v>
      </c>
      <c r="CF7" s="124" t="s">
        <v>44</v>
      </c>
      <c r="CG7" s="124" t="s">
        <v>45</v>
      </c>
      <c r="CH7" s="125"/>
    </row>
    <row r="8" spans="1:86" ht="12.75" hidden="1">
      <c r="A8" s="125"/>
      <c r="B8" s="125"/>
      <c r="C8" s="125"/>
      <c r="D8" s="125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4"/>
      <c r="CD8" s="124"/>
      <c r="CE8" s="124"/>
      <c r="CF8" s="124"/>
      <c r="CG8" s="124"/>
      <c r="CH8" s="125"/>
    </row>
    <row r="9" spans="1:86" ht="12.75" hidden="1">
      <c r="A9" s="92">
        <v>1</v>
      </c>
      <c r="B9" s="92"/>
      <c r="C9" s="92"/>
      <c r="D9" s="92"/>
      <c r="E9" s="92">
        <v>2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>
        <v>3</v>
      </c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>
        <v>4</v>
      </c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 t="s">
        <v>58</v>
      </c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16">
        <v>6</v>
      </c>
      <c r="CD9" s="16">
        <v>7</v>
      </c>
      <c r="CE9" s="16">
        <v>8</v>
      </c>
      <c r="CF9" s="16">
        <v>9</v>
      </c>
      <c r="CG9" s="16">
        <v>10</v>
      </c>
      <c r="CH9" s="16">
        <v>11</v>
      </c>
    </row>
    <row r="10" spans="1:86" ht="12.75" hidden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17"/>
      <c r="CD10" s="17"/>
      <c r="CE10" s="17"/>
      <c r="CF10" s="17"/>
      <c r="CG10" s="17"/>
      <c r="CH10" s="17"/>
    </row>
    <row r="11" spans="1:86" ht="12.75" hidden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17"/>
      <c r="CD11" s="17"/>
      <c r="CE11" s="17"/>
      <c r="CF11" s="17"/>
      <c r="CG11" s="17"/>
      <c r="CH11" s="17"/>
    </row>
    <row r="12" spans="1:86" ht="12.75" hidden="1">
      <c r="A12" s="86" t="s">
        <v>140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120" t="s">
        <v>3</v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 t="s">
        <v>3</v>
      </c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17"/>
      <c r="CD12" s="17"/>
      <c r="CE12" s="17"/>
      <c r="CF12" s="17"/>
      <c r="CG12" s="17"/>
      <c r="CH12" s="17"/>
    </row>
    <row r="13" s="1" customFormat="1" ht="15"/>
    <row r="14" s="1" customFormat="1" ht="15">
      <c r="A14" s="3" t="s">
        <v>119</v>
      </c>
    </row>
    <row r="15" s="1" customFormat="1" ht="15"/>
    <row r="16" spans="1:80" s="3" customFormat="1" ht="15">
      <c r="A16" s="19" t="s">
        <v>120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8" spans="1:86" ht="12.75">
      <c r="A18" s="93" t="s">
        <v>39</v>
      </c>
      <c r="B18" s="94"/>
      <c r="C18" s="94"/>
      <c r="D18" s="95"/>
      <c r="E18" s="111" t="s">
        <v>4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AN18" s="93" t="s">
        <v>101</v>
      </c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  <c r="BB18" s="93" t="s">
        <v>102</v>
      </c>
      <c r="BC18" s="94"/>
      <c r="BD18" s="94"/>
      <c r="BE18" s="94"/>
      <c r="BF18" s="94"/>
      <c r="BG18" s="94"/>
      <c r="BH18" s="94"/>
      <c r="BI18" s="95"/>
      <c r="BJ18" s="93" t="s">
        <v>109</v>
      </c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5"/>
      <c r="CC18" s="120" t="s">
        <v>66</v>
      </c>
      <c r="CD18" s="120"/>
      <c r="CE18" s="120"/>
      <c r="CF18" s="120"/>
      <c r="CG18" s="120"/>
      <c r="CH18" s="120"/>
    </row>
    <row r="19" spans="1:86" ht="93" customHeight="1">
      <c r="A19" s="96"/>
      <c r="B19" s="97"/>
      <c r="C19" s="97"/>
      <c r="D19" s="98"/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N19" s="96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96"/>
      <c r="BC19" s="97"/>
      <c r="BD19" s="97"/>
      <c r="BE19" s="97"/>
      <c r="BF19" s="97"/>
      <c r="BG19" s="97"/>
      <c r="BH19" s="97"/>
      <c r="BI19" s="98"/>
      <c r="BJ19" s="96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8"/>
      <c r="CC19" s="125" t="s">
        <v>36</v>
      </c>
      <c r="CD19" s="125"/>
      <c r="CE19" s="125" t="s">
        <v>46</v>
      </c>
      <c r="CF19" s="125"/>
      <c r="CG19" s="125"/>
      <c r="CH19" s="125" t="s">
        <v>47</v>
      </c>
    </row>
    <row r="20" spans="1:86" ht="12.75">
      <c r="A20" s="96"/>
      <c r="B20" s="97"/>
      <c r="C20" s="97"/>
      <c r="D20" s="98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96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8"/>
      <c r="BB20" s="96"/>
      <c r="BC20" s="97"/>
      <c r="BD20" s="97"/>
      <c r="BE20" s="97"/>
      <c r="BF20" s="97"/>
      <c r="BG20" s="97"/>
      <c r="BH20" s="97"/>
      <c r="BI20" s="98"/>
      <c r="BJ20" s="96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8"/>
      <c r="CC20" s="124" t="s">
        <v>44</v>
      </c>
      <c r="CD20" s="124" t="s">
        <v>45</v>
      </c>
      <c r="CE20" s="124" t="s">
        <v>83</v>
      </c>
      <c r="CF20" s="124" t="s">
        <v>44</v>
      </c>
      <c r="CG20" s="124" t="s">
        <v>45</v>
      </c>
      <c r="CH20" s="125"/>
    </row>
    <row r="21" spans="1:86" ht="12.75">
      <c r="A21" s="99"/>
      <c r="B21" s="100"/>
      <c r="C21" s="100"/>
      <c r="D21" s="101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99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1"/>
      <c r="BB21" s="99"/>
      <c r="BC21" s="100"/>
      <c r="BD21" s="100"/>
      <c r="BE21" s="100"/>
      <c r="BF21" s="100"/>
      <c r="BG21" s="100"/>
      <c r="BH21" s="100"/>
      <c r="BI21" s="101"/>
      <c r="BJ21" s="99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1"/>
      <c r="CC21" s="124"/>
      <c r="CD21" s="124"/>
      <c r="CE21" s="124"/>
      <c r="CF21" s="124"/>
      <c r="CG21" s="124"/>
      <c r="CH21" s="125"/>
    </row>
    <row r="22" spans="1:86" ht="12.75">
      <c r="A22" s="92">
        <v>1</v>
      </c>
      <c r="B22" s="92"/>
      <c r="C22" s="92"/>
      <c r="D22" s="92"/>
      <c r="E22" s="92">
        <v>2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>
        <v>3</v>
      </c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>
        <v>4</v>
      </c>
      <c r="BC22" s="92"/>
      <c r="BD22" s="92"/>
      <c r="BE22" s="92"/>
      <c r="BF22" s="92"/>
      <c r="BG22" s="92"/>
      <c r="BH22" s="92"/>
      <c r="BI22" s="92"/>
      <c r="BJ22" s="92" t="s">
        <v>104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16">
        <v>6</v>
      </c>
      <c r="CD22" s="16">
        <v>7</v>
      </c>
      <c r="CE22" s="16">
        <v>8</v>
      </c>
      <c r="CF22" s="16">
        <v>9</v>
      </c>
      <c r="CG22" s="16">
        <v>10</v>
      </c>
      <c r="CH22" s="16">
        <v>11</v>
      </c>
    </row>
    <row r="23" spans="1:86" ht="12.75">
      <c r="A23" s="110">
        <v>1</v>
      </c>
      <c r="B23" s="110"/>
      <c r="C23" s="110"/>
      <c r="D23" s="110"/>
      <c r="E23" s="110" t="s">
        <v>193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68">
        <v>2500000</v>
      </c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89">
        <v>6</v>
      </c>
      <c r="BC23" s="89"/>
      <c r="BD23" s="89"/>
      <c r="BE23" s="89"/>
      <c r="BF23" s="89"/>
      <c r="BG23" s="89"/>
      <c r="BH23" s="89"/>
      <c r="BI23" s="89"/>
      <c r="BJ23" s="109">
        <f>AN23*BB23/100</f>
        <v>150000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5"/>
      <c r="CD23" s="15"/>
      <c r="CE23" s="15"/>
      <c r="CF23" s="15"/>
      <c r="CG23" s="15"/>
      <c r="CH23" s="25">
        <f>BJ23</f>
        <v>150000</v>
      </c>
    </row>
    <row r="24" spans="1:86" ht="13.5" customHeight="1">
      <c r="A24" s="161" t="s">
        <v>105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3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120" t="s">
        <v>3</v>
      </c>
      <c r="BC24" s="120"/>
      <c r="BD24" s="120"/>
      <c r="BE24" s="120"/>
      <c r="BF24" s="120"/>
      <c r="BG24" s="120"/>
      <c r="BH24" s="120"/>
      <c r="BI24" s="120"/>
      <c r="BJ24" s="157">
        <f>BJ23</f>
        <v>150000</v>
      </c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3"/>
      <c r="CD24" s="23"/>
      <c r="CE24" s="23"/>
      <c r="CF24" s="23"/>
      <c r="CG24" s="23"/>
      <c r="CH24" s="23">
        <f>CH23</f>
        <v>150000</v>
      </c>
    </row>
    <row r="25" spans="1:86" ht="12.75" hidden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17"/>
      <c r="CD25" s="17"/>
      <c r="CE25" s="17"/>
      <c r="CF25" s="17"/>
      <c r="CG25" s="17"/>
      <c r="CH25" s="17"/>
    </row>
    <row r="26" spans="1:86" ht="12.75" hidden="1">
      <c r="A26" s="86" t="s">
        <v>105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120" t="s">
        <v>3</v>
      </c>
      <c r="BC26" s="120"/>
      <c r="BD26" s="120"/>
      <c r="BE26" s="120"/>
      <c r="BF26" s="120"/>
      <c r="BG26" s="120"/>
      <c r="BH26" s="120"/>
      <c r="BI26" s="120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17"/>
      <c r="CD26" s="17"/>
      <c r="CE26" s="17"/>
      <c r="CF26" s="17"/>
      <c r="CG26" s="17"/>
      <c r="CH26" s="17"/>
    </row>
    <row r="27" spans="1:86" ht="12.75" hidden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17"/>
      <c r="CD27" s="17"/>
      <c r="CE27" s="17"/>
      <c r="CF27" s="17"/>
      <c r="CG27" s="17"/>
      <c r="CH27" s="17"/>
    </row>
    <row r="28" spans="1:86" ht="12.75" hidden="1">
      <c r="A28" s="86" t="s">
        <v>106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120" t="s">
        <v>3</v>
      </c>
      <c r="BC28" s="120"/>
      <c r="BD28" s="120"/>
      <c r="BE28" s="120"/>
      <c r="BF28" s="120"/>
      <c r="BG28" s="120"/>
      <c r="BH28" s="120"/>
      <c r="BI28" s="120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17"/>
      <c r="CD28" s="17"/>
      <c r="CE28" s="17"/>
      <c r="CF28" s="17"/>
      <c r="CG28" s="17"/>
      <c r="CH28" s="17"/>
    </row>
    <row r="29" spans="1:86" ht="12.75" hidden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17"/>
      <c r="CD29" s="17"/>
      <c r="CE29" s="17"/>
      <c r="CF29" s="17"/>
      <c r="CG29" s="17"/>
      <c r="CH29" s="17"/>
    </row>
    <row r="30" spans="1:86" ht="12.75" hidden="1">
      <c r="A30" s="86" t="s">
        <v>107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120" t="s">
        <v>3</v>
      </c>
      <c r="BC30" s="120"/>
      <c r="BD30" s="120"/>
      <c r="BE30" s="120"/>
      <c r="BF30" s="120"/>
      <c r="BG30" s="120"/>
      <c r="BH30" s="120"/>
      <c r="BI30" s="120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17"/>
      <c r="CD30" s="17"/>
      <c r="CE30" s="17"/>
      <c r="CF30" s="17"/>
      <c r="CG30" s="17"/>
      <c r="CH30" s="17"/>
    </row>
    <row r="31" spans="1:86" ht="12.75" hidden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17"/>
      <c r="CD31" s="17"/>
      <c r="CE31" s="17"/>
      <c r="CF31" s="17"/>
      <c r="CG31" s="17"/>
      <c r="CH31" s="17"/>
    </row>
    <row r="32" spans="1:86" ht="12.75" hidden="1">
      <c r="A32" s="86" t="s">
        <v>108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120" t="s">
        <v>3</v>
      </c>
      <c r="BC32" s="120"/>
      <c r="BD32" s="120"/>
      <c r="BE32" s="120"/>
      <c r="BF32" s="120"/>
      <c r="BG32" s="120"/>
      <c r="BH32" s="120"/>
      <c r="BI32" s="120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17"/>
      <c r="CD32" s="17"/>
      <c r="CE32" s="17"/>
      <c r="CF32" s="17"/>
      <c r="CG32" s="17"/>
      <c r="CH32" s="17"/>
    </row>
    <row r="33" spans="1:86" ht="12.75">
      <c r="A33" s="18"/>
      <c r="B33" s="18"/>
      <c r="C33" s="1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3"/>
      <c r="BC33" s="13"/>
      <c r="BD33" s="13"/>
      <c r="BE33" s="13"/>
      <c r="BF33" s="13"/>
      <c r="BG33" s="13"/>
      <c r="BH33" s="13"/>
      <c r="BI33" s="13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8"/>
      <c r="CD33" s="18"/>
      <c r="CE33" s="18"/>
      <c r="CF33" s="18"/>
      <c r="CG33" s="18"/>
      <c r="CH33" s="18"/>
    </row>
    <row r="34" spans="1:86" ht="15" hidden="1">
      <c r="A34" s="20" t="s">
        <v>122</v>
      </c>
      <c r="B34" s="18"/>
      <c r="C34" s="1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3"/>
      <c r="BC34" s="13"/>
      <c r="BD34" s="13"/>
      <c r="BE34" s="13"/>
      <c r="BF34" s="13"/>
      <c r="BG34" s="13"/>
      <c r="BH34" s="13"/>
      <c r="BI34" s="13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8"/>
      <c r="CD34" s="18"/>
      <c r="CE34" s="18"/>
      <c r="CF34" s="18"/>
      <c r="CG34" s="18"/>
      <c r="CH34" s="18"/>
    </row>
    <row r="35" spans="1:86" ht="12.75" hidden="1">
      <c r="A35" s="18"/>
      <c r="B35" s="18"/>
      <c r="C35" s="18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3"/>
      <c r="BC35" s="13"/>
      <c r="BD35" s="13"/>
      <c r="BE35" s="13"/>
      <c r="BF35" s="13"/>
      <c r="BG35" s="13"/>
      <c r="BH35" s="13"/>
      <c r="BI35" s="13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8"/>
      <c r="CD35" s="18"/>
      <c r="CE35" s="18"/>
      <c r="CF35" s="18"/>
      <c r="CG35" s="18"/>
      <c r="CH35" s="18"/>
    </row>
    <row r="36" spans="1:86" s="3" customFormat="1" ht="32.25" customHeight="1" hidden="1">
      <c r="A36" s="140" t="s">
        <v>121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</row>
    <row r="37" ht="12.75" hidden="1"/>
    <row r="38" spans="1:86" ht="12.75" customHeight="1" hidden="1">
      <c r="A38" s="93" t="s">
        <v>39</v>
      </c>
      <c r="B38" s="94"/>
      <c r="C38" s="94"/>
      <c r="D38" s="95"/>
      <c r="E38" s="111" t="s">
        <v>4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93" t="s">
        <v>112</v>
      </c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 t="s">
        <v>110</v>
      </c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5"/>
      <c r="CC38" s="120" t="s">
        <v>66</v>
      </c>
      <c r="CD38" s="120"/>
      <c r="CE38" s="120"/>
      <c r="CF38" s="120"/>
      <c r="CG38" s="120"/>
      <c r="CH38" s="120"/>
    </row>
    <row r="39" spans="1:86" ht="93.75" customHeight="1" hidden="1">
      <c r="A39" s="96"/>
      <c r="B39" s="97"/>
      <c r="C39" s="97"/>
      <c r="D39" s="98"/>
      <c r="E39" s="11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6"/>
      <c r="AN39" s="96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8"/>
      <c r="BN39" s="96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8"/>
      <c r="CC39" s="125" t="s">
        <v>36</v>
      </c>
      <c r="CD39" s="125"/>
      <c r="CE39" s="125" t="s">
        <v>46</v>
      </c>
      <c r="CF39" s="125"/>
      <c r="CG39" s="125"/>
      <c r="CH39" s="125" t="s">
        <v>47</v>
      </c>
    </row>
    <row r="40" spans="1:86" ht="12.75" hidden="1">
      <c r="A40" s="96"/>
      <c r="B40" s="97"/>
      <c r="C40" s="97"/>
      <c r="D40" s="98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6"/>
      <c r="AN40" s="96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8"/>
      <c r="BN40" s="96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8"/>
      <c r="CC40" s="124" t="s">
        <v>44</v>
      </c>
      <c r="CD40" s="124" t="s">
        <v>45</v>
      </c>
      <c r="CE40" s="124" t="s">
        <v>83</v>
      </c>
      <c r="CF40" s="124" t="s">
        <v>44</v>
      </c>
      <c r="CG40" s="124" t="s">
        <v>45</v>
      </c>
      <c r="CH40" s="125"/>
    </row>
    <row r="41" spans="1:86" ht="12.75" hidden="1">
      <c r="A41" s="99"/>
      <c r="B41" s="100"/>
      <c r="C41" s="100"/>
      <c r="D41" s="101"/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99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1"/>
      <c r="BN41" s="99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1"/>
      <c r="CC41" s="124"/>
      <c r="CD41" s="124"/>
      <c r="CE41" s="124"/>
      <c r="CF41" s="124"/>
      <c r="CG41" s="124"/>
      <c r="CH41" s="125"/>
    </row>
    <row r="42" spans="1:86" ht="12.75" hidden="1">
      <c r="A42" s="92">
        <v>1</v>
      </c>
      <c r="B42" s="92"/>
      <c r="C42" s="92"/>
      <c r="D42" s="92"/>
      <c r="E42" s="92">
        <v>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137">
        <v>3</v>
      </c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9"/>
      <c r="BN42" s="92">
        <v>4</v>
      </c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16">
        <v>5</v>
      </c>
      <c r="CD42" s="16">
        <v>6</v>
      </c>
      <c r="CE42" s="16">
        <v>7</v>
      </c>
      <c r="CF42" s="16">
        <v>8</v>
      </c>
      <c r="CG42" s="16">
        <v>9</v>
      </c>
      <c r="CH42" s="16">
        <v>10</v>
      </c>
    </row>
    <row r="43" spans="1:86" ht="12.75" hidden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06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8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17"/>
      <c r="CD43" s="17"/>
      <c r="CE43" s="17"/>
      <c r="CF43" s="17"/>
      <c r="CG43" s="17"/>
      <c r="CH43" s="17"/>
    </row>
    <row r="44" spans="1:86" ht="12.75" hidden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06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8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17"/>
      <c r="CD44" s="17"/>
      <c r="CE44" s="17"/>
      <c r="CF44" s="17"/>
      <c r="CG44" s="17"/>
      <c r="CH44" s="17"/>
    </row>
    <row r="45" spans="1:86" ht="12.75" hidden="1">
      <c r="A45" s="110"/>
      <c r="B45" s="110"/>
      <c r="C45" s="110"/>
      <c r="D45" s="110"/>
      <c r="E45" s="89" t="s">
        <v>113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106" t="s">
        <v>3</v>
      </c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8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17"/>
      <c r="CD45" s="17"/>
      <c r="CE45" s="17"/>
      <c r="CF45" s="17"/>
      <c r="CG45" s="17"/>
      <c r="CH45" s="17"/>
    </row>
    <row r="46" spans="1:86" ht="12.75" hidden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06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8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17"/>
      <c r="CD46" s="17"/>
      <c r="CE46" s="17"/>
      <c r="CF46" s="17"/>
      <c r="CG46" s="17"/>
      <c r="CH46" s="17"/>
    </row>
    <row r="47" spans="1:86" ht="12.75" hidden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06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8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17"/>
      <c r="CD47" s="17"/>
      <c r="CE47" s="17"/>
      <c r="CF47" s="17"/>
      <c r="CG47" s="17"/>
      <c r="CH47" s="17"/>
    </row>
    <row r="48" spans="1:86" ht="12.75" hidden="1">
      <c r="A48" s="110"/>
      <c r="B48" s="110"/>
      <c r="C48" s="110"/>
      <c r="D48" s="110"/>
      <c r="E48" s="89" t="s">
        <v>114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106" t="s">
        <v>3</v>
      </c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8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17"/>
      <c r="CD48" s="17"/>
      <c r="CE48" s="17"/>
      <c r="CF48" s="17"/>
      <c r="CG48" s="17"/>
      <c r="CH48" s="17"/>
    </row>
  </sheetData>
  <sheetProtection/>
  <mergeCells count="140">
    <mergeCell ref="A23:D23"/>
    <mergeCell ref="E23:AM23"/>
    <mergeCell ref="AN23:BA23"/>
    <mergeCell ref="BB23:BI23"/>
    <mergeCell ref="BJ23:CB23"/>
    <mergeCell ref="A24:AM24"/>
    <mergeCell ref="AN24:BA24"/>
    <mergeCell ref="BB24:BI24"/>
    <mergeCell ref="BJ24:CB24"/>
    <mergeCell ref="CC5:CH5"/>
    <mergeCell ref="CG20:CG21"/>
    <mergeCell ref="CD7:CD8"/>
    <mergeCell ref="CE7:CE8"/>
    <mergeCell ref="CF7:CF8"/>
    <mergeCell ref="CG7:CG8"/>
    <mergeCell ref="CC19:CD19"/>
    <mergeCell ref="CE19:CG19"/>
    <mergeCell ref="CH19:CH21"/>
    <mergeCell ref="CC20:CC21"/>
    <mergeCell ref="A5:D8"/>
    <mergeCell ref="E5:AM8"/>
    <mergeCell ref="AN5:BA8"/>
    <mergeCell ref="BB5:BM8"/>
    <mergeCell ref="BN5:CB8"/>
    <mergeCell ref="CC18:CH18"/>
    <mergeCell ref="A18:D21"/>
    <mergeCell ref="CC6:CD6"/>
    <mergeCell ref="CE6:CG6"/>
    <mergeCell ref="CH6:CH8"/>
    <mergeCell ref="CD20:CD21"/>
    <mergeCell ref="CE20:CE21"/>
    <mergeCell ref="CF20:CF21"/>
    <mergeCell ref="BB28:BI28"/>
    <mergeCell ref="BJ28:CB28"/>
    <mergeCell ref="E18:AM21"/>
    <mergeCell ref="AN18:BA21"/>
    <mergeCell ref="BB18:BI21"/>
    <mergeCell ref="BJ18:CB21"/>
    <mergeCell ref="E27:AM27"/>
    <mergeCell ref="CC7:CC8"/>
    <mergeCell ref="A29:D29"/>
    <mergeCell ref="E29:AM29"/>
    <mergeCell ref="AN29:BA29"/>
    <mergeCell ref="BB29:BI29"/>
    <mergeCell ref="BJ29:CB29"/>
    <mergeCell ref="AN26:BA26"/>
    <mergeCell ref="A25:D25"/>
    <mergeCell ref="E25:AM25"/>
    <mergeCell ref="A27:D27"/>
    <mergeCell ref="BJ25:CB25"/>
    <mergeCell ref="AN30:BA30"/>
    <mergeCell ref="BB30:BI30"/>
    <mergeCell ref="BJ30:CB30"/>
    <mergeCell ref="BB26:BI26"/>
    <mergeCell ref="BJ26:CB26"/>
    <mergeCell ref="AN27:BA27"/>
    <mergeCell ref="BB27:BI27"/>
    <mergeCell ref="BJ27:CB27"/>
    <mergeCell ref="AN28:BA28"/>
    <mergeCell ref="A31:D31"/>
    <mergeCell ref="E31:AM31"/>
    <mergeCell ref="AN31:BA31"/>
    <mergeCell ref="BB31:BI31"/>
    <mergeCell ref="BJ31:CB31"/>
    <mergeCell ref="A26:AM26"/>
    <mergeCell ref="A28:AM28"/>
    <mergeCell ref="A30:AM30"/>
    <mergeCell ref="A3:CH3"/>
    <mergeCell ref="AN38:BM41"/>
    <mergeCell ref="AN42:BM42"/>
    <mergeCell ref="AN43:BM43"/>
    <mergeCell ref="BN42:CB42"/>
    <mergeCell ref="A43:D43"/>
    <mergeCell ref="E43:AM43"/>
    <mergeCell ref="BN43:CB43"/>
    <mergeCell ref="BB22:BI22"/>
    <mergeCell ref="BJ22:CB22"/>
    <mergeCell ref="A46:D46"/>
    <mergeCell ref="E46:AM46"/>
    <mergeCell ref="BB9:BM9"/>
    <mergeCell ref="AN46:BM46"/>
    <mergeCell ref="BN46:CB46"/>
    <mergeCell ref="E45:AM45"/>
    <mergeCell ref="BN45:CB45"/>
    <mergeCell ref="A38:D41"/>
    <mergeCell ref="A36:CH36"/>
    <mergeCell ref="AN12:BA12"/>
    <mergeCell ref="A44:D44"/>
    <mergeCell ref="E44:AM44"/>
    <mergeCell ref="BN44:CB44"/>
    <mergeCell ref="A45:D45"/>
    <mergeCell ref="AN44:BM44"/>
    <mergeCell ref="AN45:BM45"/>
    <mergeCell ref="CH39:CH41"/>
    <mergeCell ref="CC40:CC41"/>
    <mergeCell ref="CD40:CD41"/>
    <mergeCell ref="CE40:CE41"/>
    <mergeCell ref="CF40:CF41"/>
    <mergeCell ref="AN47:BM47"/>
    <mergeCell ref="BN47:CB47"/>
    <mergeCell ref="AN22:BA22"/>
    <mergeCell ref="A11:D11"/>
    <mergeCell ref="E11:AM11"/>
    <mergeCell ref="AN11:BA11"/>
    <mergeCell ref="CC39:CD39"/>
    <mergeCell ref="CE39:CG39"/>
    <mergeCell ref="BN12:CB12"/>
    <mergeCell ref="BB12:BM12"/>
    <mergeCell ref="AN25:BA25"/>
    <mergeCell ref="BB25:BI25"/>
    <mergeCell ref="A32:AM32"/>
    <mergeCell ref="CG40:CG41"/>
    <mergeCell ref="BB11:BM11"/>
    <mergeCell ref="A10:D10"/>
    <mergeCell ref="E10:AM10"/>
    <mergeCell ref="AN10:BA10"/>
    <mergeCell ref="BN10:CB10"/>
    <mergeCell ref="CC38:CH38"/>
    <mergeCell ref="A22:D22"/>
    <mergeCell ref="E22:AM22"/>
    <mergeCell ref="A47:D47"/>
    <mergeCell ref="BB10:BM10"/>
    <mergeCell ref="A9:D9"/>
    <mergeCell ref="E9:AM9"/>
    <mergeCell ref="AN9:BA9"/>
    <mergeCell ref="BN9:CB9"/>
    <mergeCell ref="AN32:BA32"/>
    <mergeCell ref="BB32:BI32"/>
    <mergeCell ref="BJ32:CB32"/>
    <mergeCell ref="A12:AM12"/>
    <mergeCell ref="E47:AM47"/>
    <mergeCell ref="BN11:CB11"/>
    <mergeCell ref="E38:AM41"/>
    <mergeCell ref="BN38:CB41"/>
    <mergeCell ref="A48:D48"/>
    <mergeCell ref="E48:AM48"/>
    <mergeCell ref="AN48:BM48"/>
    <mergeCell ref="BN48:CB48"/>
    <mergeCell ref="A42:D42"/>
    <mergeCell ref="E42:AM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F10E6"/>
  </sheetPr>
  <dimension ref="A1:CH23"/>
  <sheetViews>
    <sheetView zoomScalePageLayoutView="0" workbookViewId="0" topLeftCell="A1">
      <selection activeCell="A12" sqref="A12:AM12"/>
    </sheetView>
  </sheetViews>
  <sheetFormatPr defaultColWidth="1.12109375" defaultRowHeight="12.75"/>
  <cols>
    <col min="1" max="1" width="2.125" style="7" bestFit="1" customWidth="1"/>
    <col min="2" max="80" width="1.12109375" style="7" customWidth="1"/>
    <col min="81" max="83" width="9.50390625" style="7" customWidth="1"/>
    <col min="84" max="84" width="9.125" style="7" customWidth="1"/>
    <col min="85" max="85" width="8.50390625" style="7" customWidth="1"/>
    <col min="86" max="86" width="15.125" style="7" customWidth="1"/>
    <col min="87" max="16384" width="1.12109375" style="7" customWidth="1"/>
  </cols>
  <sheetData>
    <row r="1" spans="1:86" ht="36.75" customHeight="1">
      <c r="A1" s="140" t="s">
        <v>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</row>
    <row r="3" spans="1:86" s="3" customFormat="1" ht="15">
      <c r="A3" s="19" t="s">
        <v>123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</row>
    <row r="4" spans="1:80" s="6" customFormat="1" ht="7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6" ht="12.75" customHeight="1">
      <c r="A5" s="93" t="s">
        <v>39</v>
      </c>
      <c r="B5" s="94"/>
      <c r="C5" s="94"/>
      <c r="D5" s="95"/>
      <c r="E5" s="111" t="s">
        <v>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3"/>
      <c r="AN5" s="93" t="s">
        <v>63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93" t="s">
        <v>62</v>
      </c>
      <c r="BE5" s="94"/>
      <c r="BF5" s="94"/>
      <c r="BG5" s="94"/>
      <c r="BH5" s="94"/>
      <c r="BI5" s="94"/>
      <c r="BJ5" s="94"/>
      <c r="BK5" s="94"/>
      <c r="BL5" s="94"/>
      <c r="BM5" s="95"/>
      <c r="BN5" s="93" t="s">
        <v>64</v>
      </c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5"/>
      <c r="CC5" s="106" t="s">
        <v>66</v>
      </c>
      <c r="CD5" s="107"/>
      <c r="CE5" s="107"/>
      <c r="CF5" s="107"/>
      <c r="CG5" s="107"/>
      <c r="CH5" s="108"/>
    </row>
    <row r="6" spans="1:86" ht="78.75" customHeight="1">
      <c r="A6" s="96"/>
      <c r="B6" s="97"/>
      <c r="C6" s="97"/>
      <c r="D6" s="98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6"/>
      <c r="AN6" s="96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8"/>
      <c r="BD6" s="96"/>
      <c r="BE6" s="97"/>
      <c r="BF6" s="97"/>
      <c r="BG6" s="97"/>
      <c r="BH6" s="97"/>
      <c r="BI6" s="97"/>
      <c r="BJ6" s="97"/>
      <c r="BK6" s="97"/>
      <c r="BL6" s="97"/>
      <c r="BM6" s="98"/>
      <c r="BN6" s="96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8"/>
      <c r="CC6" s="142" t="s">
        <v>36</v>
      </c>
      <c r="CD6" s="144"/>
      <c r="CE6" s="142" t="s">
        <v>46</v>
      </c>
      <c r="CF6" s="143"/>
      <c r="CG6" s="144"/>
      <c r="CH6" s="126" t="s">
        <v>47</v>
      </c>
    </row>
    <row r="7" spans="1:86" ht="12.75" customHeight="1">
      <c r="A7" s="96"/>
      <c r="B7" s="97"/>
      <c r="C7" s="97"/>
      <c r="D7" s="98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  <c r="AN7" s="96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8"/>
      <c r="BD7" s="96"/>
      <c r="BE7" s="97"/>
      <c r="BF7" s="97"/>
      <c r="BG7" s="97"/>
      <c r="BH7" s="97"/>
      <c r="BI7" s="97"/>
      <c r="BJ7" s="97"/>
      <c r="BK7" s="97"/>
      <c r="BL7" s="97"/>
      <c r="BM7" s="98"/>
      <c r="BN7" s="96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8"/>
      <c r="CC7" s="135" t="s">
        <v>44</v>
      </c>
      <c r="CD7" s="135" t="s">
        <v>45</v>
      </c>
      <c r="CE7" s="135" t="s">
        <v>83</v>
      </c>
      <c r="CF7" s="135" t="s">
        <v>44</v>
      </c>
      <c r="CG7" s="135" t="s">
        <v>45</v>
      </c>
      <c r="CH7" s="127"/>
    </row>
    <row r="8" spans="1:86" ht="12.75" customHeight="1">
      <c r="A8" s="99"/>
      <c r="B8" s="100"/>
      <c r="C8" s="100"/>
      <c r="D8" s="101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  <c r="AN8" s="99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1"/>
      <c r="BD8" s="99"/>
      <c r="BE8" s="100"/>
      <c r="BF8" s="100"/>
      <c r="BG8" s="100"/>
      <c r="BH8" s="100"/>
      <c r="BI8" s="100"/>
      <c r="BJ8" s="100"/>
      <c r="BK8" s="100"/>
      <c r="BL8" s="100"/>
      <c r="BM8" s="101"/>
      <c r="BN8" s="99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1"/>
      <c r="CC8" s="136"/>
      <c r="CD8" s="136"/>
      <c r="CE8" s="136"/>
      <c r="CF8" s="136"/>
      <c r="CG8" s="136"/>
      <c r="CH8" s="128"/>
    </row>
    <row r="9" spans="1:86" ht="12.75">
      <c r="A9" s="137">
        <v>1</v>
      </c>
      <c r="B9" s="138"/>
      <c r="C9" s="138"/>
      <c r="D9" s="139"/>
      <c r="E9" s="137">
        <v>2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9"/>
      <c r="AN9" s="137">
        <v>3</v>
      </c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9"/>
      <c r="BD9" s="137">
        <v>4</v>
      </c>
      <c r="BE9" s="138"/>
      <c r="BF9" s="138"/>
      <c r="BG9" s="138"/>
      <c r="BH9" s="138"/>
      <c r="BI9" s="138"/>
      <c r="BJ9" s="138"/>
      <c r="BK9" s="138"/>
      <c r="BL9" s="138"/>
      <c r="BM9" s="139"/>
      <c r="BN9" s="137" t="s">
        <v>58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9"/>
      <c r="CC9" s="15">
        <v>6</v>
      </c>
      <c r="CD9" s="15">
        <v>7</v>
      </c>
      <c r="CE9" s="15">
        <v>8</v>
      </c>
      <c r="CF9" s="15">
        <v>9</v>
      </c>
      <c r="CG9" s="15">
        <v>10</v>
      </c>
      <c r="CH9" s="15">
        <v>11</v>
      </c>
    </row>
    <row r="10" spans="1:86" ht="12.75">
      <c r="A10" s="169"/>
      <c r="B10" s="170"/>
      <c r="C10" s="170"/>
      <c r="D10" s="171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86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8"/>
      <c r="BD10" s="86"/>
      <c r="BE10" s="87"/>
      <c r="BF10" s="87"/>
      <c r="BG10" s="87"/>
      <c r="BH10" s="87"/>
      <c r="BI10" s="87"/>
      <c r="BJ10" s="87"/>
      <c r="BK10" s="87"/>
      <c r="BL10" s="87"/>
      <c r="BM10" s="88"/>
      <c r="BN10" s="86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8"/>
      <c r="CC10" s="17"/>
      <c r="CD10" s="17"/>
      <c r="CE10" s="17"/>
      <c r="CF10" s="17"/>
      <c r="CG10" s="17"/>
      <c r="CH10" s="17"/>
    </row>
    <row r="11" spans="1:86" ht="12.75">
      <c r="A11" s="169"/>
      <c r="B11" s="170"/>
      <c r="C11" s="170"/>
      <c r="D11" s="171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1"/>
      <c r="AN11" s="86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8"/>
      <c r="BD11" s="86"/>
      <c r="BE11" s="87"/>
      <c r="BF11" s="87"/>
      <c r="BG11" s="87"/>
      <c r="BH11" s="87"/>
      <c r="BI11" s="87"/>
      <c r="BJ11" s="87"/>
      <c r="BK11" s="87"/>
      <c r="BL11" s="87"/>
      <c r="BM11" s="88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17"/>
      <c r="CD11" s="17"/>
      <c r="CE11" s="17"/>
      <c r="CF11" s="17"/>
      <c r="CG11" s="17"/>
      <c r="CH11" s="17"/>
    </row>
    <row r="12" spans="1:86" ht="12.75">
      <c r="A12" s="86" t="s">
        <v>69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106" t="s">
        <v>3</v>
      </c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106" t="s">
        <v>3</v>
      </c>
      <c r="BE12" s="107"/>
      <c r="BF12" s="107"/>
      <c r="BG12" s="107"/>
      <c r="BH12" s="107"/>
      <c r="BI12" s="107"/>
      <c r="BJ12" s="107"/>
      <c r="BK12" s="107"/>
      <c r="BL12" s="107"/>
      <c r="BM12" s="108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8"/>
      <c r="CC12" s="17"/>
      <c r="CD12" s="17"/>
      <c r="CE12" s="17"/>
      <c r="CF12" s="17"/>
      <c r="CG12" s="17"/>
      <c r="CH12" s="17"/>
    </row>
    <row r="13" s="1" customFormat="1" ht="15"/>
    <row r="14" spans="1:86" s="3" customFormat="1" ht="15">
      <c r="A14" s="19" t="s">
        <v>124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</row>
    <row r="15" spans="1:80" s="6" customFormat="1" ht="7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6" ht="12.75">
      <c r="A16" s="125" t="s">
        <v>39</v>
      </c>
      <c r="B16" s="125"/>
      <c r="C16" s="125"/>
      <c r="D16" s="125"/>
      <c r="E16" s="92" t="s">
        <v>4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3" t="s">
        <v>63</v>
      </c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5"/>
      <c r="BD16" s="93" t="s">
        <v>62</v>
      </c>
      <c r="BE16" s="94"/>
      <c r="BF16" s="94"/>
      <c r="BG16" s="94"/>
      <c r="BH16" s="94"/>
      <c r="BI16" s="94"/>
      <c r="BJ16" s="94"/>
      <c r="BK16" s="94"/>
      <c r="BL16" s="94"/>
      <c r="BM16" s="95"/>
      <c r="BN16" s="93" t="s">
        <v>64</v>
      </c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120" t="s">
        <v>66</v>
      </c>
      <c r="CD16" s="120"/>
      <c r="CE16" s="120"/>
      <c r="CF16" s="120"/>
      <c r="CG16" s="120"/>
      <c r="CH16" s="120"/>
    </row>
    <row r="17" spans="1:86" ht="83.25" customHeight="1">
      <c r="A17" s="125"/>
      <c r="B17" s="125"/>
      <c r="C17" s="125"/>
      <c r="D17" s="125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6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8"/>
      <c r="BD17" s="96"/>
      <c r="BE17" s="97"/>
      <c r="BF17" s="97"/>
      <c r="BG17" s="97"/>
      <c r="BH17" s="97"/>
      <c r="BI17" s="97"/>
      <c r="BJ17" s="97"/>
      <c r="BK17" s="97"/>
      <c r="BL17" s="97"/>
      <c r="BM17" s="98"/>
      <c r="BN17" s="96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8"/>
      <c r="CC17" s="125" t="s">
        <v>36</v>
      </c>
      <c r="CD17" s="125"/>
      <c r="CE17" s="142" t="s">
        <v>46</v>
      </c>
      <c r="CF17" s="143"/>
      <c r="CG17" s="144"/>
      <c r="CH17" s="126" t="s">
        <v>47</v>
      </c>
    </row>
    <row r="18" spans="1:86" ht="12.75" customHeight="1">
      <c r="A18" s="125"/>
      <c r="B18" s="125"/>
      <c r="C18" s="125"/>
      <c r="D18" s="125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6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D18" s="96"/>
      <c r="BE18" s="97"/>
      <c r="BF18" s="97"/>
      <c r="BG18" s="97"/>
      <c r="BH18" s="97"/>
      <c r="BI18" s="97"/>
      <c r="BJ18" s="97"/>
      <c r="BK18" s="97"/>
      <c r="BL18" s="97"/>
      <c r="BM18" s="98"/>
      <c r="BN18" s="96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8"/>
      <c r="CC18" s="124" t="s">
        <v>44</v>
      </c>
      <c r="CD18" s="124" t="s">
        <v>45</v>
      </c>
      <c r="CE18" s="135" t="s">
        <v>83</v>
      </c>
      <c r="CF18" s="124" t="s">
        <v>44</v>
      </c>
      <c r="CG18" s="124" t="s">
        <v>45</v>
      </c>
      <c r="CH18" s="127"/>
    </row>
    <row r="19" spans="1:86" ht="12.75">
      <c r="A19" s="125"/>
      <c r="B19" s="125"/>
      <c r="C19" s="125"/>
      <c r="D19" s="125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9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1"/>
      <c r="BD19" s="99"/>
      <c r="BE19" s="100"/>
      <c r="BF19" s="100"/>
      <c r="BG19" s="100"/>
      <c r="BH19" s="100"/>
      <c r="BI19" s="100"/>
      <c r="BJ19" s="100"/>
      <c r="BK19" s="100"/>
      <c r="BL19" s="100"/>
      <c r="BM19" s="101"/>
      <c r="BN19" s="99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  <c r="CC19" s="124"/>
      <c r="CD19" s="124"/>
      <c r="CE19" s="136"/>
      <c r="CF19" s="124"/>
      <c r="CG19" s="124"/>
      <c r="CH19" s="128"/>
    </row>
    <row r="20" spans="1:86" ht="12.75">
      <c r="A20" s="92">
        <v>1</v>
      </c>
      <c r="B20" s="92"/>
      <c r="C20" s="92"/>
      <c r="D20" s="92"/>
      <c r="E20" s="92">
        <v>2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>
        <v>3</v>
      </c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>
        <v>4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2" t="s">
        <v>58</v>
      </c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15">
        <v>6</v>
      </c>
      <c r="CD20" s="15">
        <v>7</v>
      </c>
      <c r="CE20" s="15">
        <v>8</v>
      </c>
      <c r="CF20" s="15">
        <v>9</v>
      </c>
      <c r="CG20" s="15">
        <v>10</v>
      </c>
      <c r="CH20" s="15">
        <v>11</v>
      </c>
    </row>
    <row r="21" spans="1:86" ht="12.75">
      <c r="A21" s="110"/>
      <c r="B21" s="110"/>
      <c r="C21" s="110"/>
      <c r="D21" s="11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17"/>
      <c r="CD21" s="17"/>
      <c r="CE21" s="17"/>
      <c r="CF21" s="17"/>
      <c r="CG21" s="17"/>
      <c r="CH21" s="17"/>
    </row>
    <row r="22" spans="1:86" ht="12.75">
      <c r="A22" s="110"/>
      <c r="B22" s="110"/>
      <c r="C22" s="110"/>
      <c r="D22" s="11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17"/>
      <c r="CD22" s="17"/>
      <c r="CE22" s="17"/>
      <c r="CF22" s="17"/>
      <c r="CG22" s="17"/>
      <c r="CH22" s="17"/>
    </row>
    <row r="23" spans="1:86" ht="12.75">
      <c r="A23" s="86" t="s">
        <v>70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 t="s">
        <v>3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17"/>
      <c r="CD23" s="17"/>
      <c r="CE23" s="17"/>
      <c r="CF23" s="17"/>
      <c r="CG23" s="17"/>
      <c r="CH23" s="17"/>
    </row>
    <row r="24" s="1" customFormat="1" ht="15"/>
  </sheetData>
  <sheetProtection/>
  <mergeCells count="67"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75"/>
  <sheetViews>
    <sheetView zoomScalePageLayoutView="0" workbookViewId="0" topLeftCell="A53">
      <selection activeCell="B49" sqref="A49:CH65"/>
    </sheetView>
  </sheetViews>
  <sheetFormatPr defaultColWidth="1.12109375" defaultRowHeight="12.75"/>
  <cols>
    <col min="1" max="18" width="1.12109375" style="7" customWidth="1"/>
    <col min="19" max="19" width="2.125" style="7" customWidth="1"/>
    <col min="20" max="80" width="1.12109375" style="7" customWidth="1"/>
    <col min="81" max="81" width="10.125" style="7" customWidth="1"/>
    <col min="82" max="82" width="11.625" style="7" customWidth="1"/>
    <col min="83" max="83" width="8.50390625" style="7" customWidth="1"/>
    <col min="84" max="84" width="9.875" style="7" customWidth="1"/>
    <col min="85" max="85" width="8.625" style="7" customWidth="1"/>
    <col min="86" max="86" width="15.125" style="7" customWidth="1"/>
    <col min="87" max="16384" width="1.12109375" style="7" customWidth="1"/>
  </cols>
  <sheetData>
    <row r="1" spans="1:80" s="3" customFormat="1" ht="1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</row>
    <row r="2" spans="1:80" s="6" customFormat="1" ht="7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6" s="3" customFormat="1" ht="15">
      <c r="A3" s="19" t="s">
        <v>127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</row>
    <row r="5" spans="1:86" ht="12.75" customHeight="1">
      <c r="A5" s="125" t="s">
        <v>39</v>
      </c>
      <c r="B5" s="125"/>
      <c r="C5" s="125"/>
      <c r="D5" s="125"/>
      <c r="E5" s="92" t="s">
        <v>4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125" t="s">
        <v>67</v>
      </c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 t="s">
        <v>62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 t="s">
        <v>68</v>
      </c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92" t="s">
        <v>6</v>
      </c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120" t="s">
        <v>66</v>
      </c>
      <c r="CD5" s="120"/>
      <c r="CE5" s="120"/>
      <c r="CF5" s="120"/>
      <c r="CG5" s="120"/>
      <c r="CH5" s="120"/>
    </row>
    <row r="6" spans="1:86" ht="78.75" customHeight="1">
      <c r="A6" s="125"/>
      <c r="B6" s="125"/>
      <c r="C6" s="125"/>
      <c r="D6" s="125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125" t="s">
        <v>36</v>
      </c>
      <c r="CD6" s="125"/>
      <c r="CE6" s="142" t="s">
        <v>46</v>
      </c>
      <c r="CF6" s="143"/>
      <c r="CG6" s="144"/>
      <c r="CH6" s="125" t="s">
        <v>47</v>
      </c>
    </row>
    <row r="7" spans="1:86" ht="12.75">
      <c r="A7" s="125"/>
      <c r="B7" s="125"/>
      <c r="C7" s="125"/>
      <c r="D7" s="12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124" t="s">
        <v>44</v>
      </c>
      <c r="CD7" s="124" t="s">
        <v>45</v>
      </c>
      <c r="CE7" s="135" t="s">
        <v>83</v>
      </c>
      <c r="CF7" s="124" t="s">
        <v>44</v>
      </c>
      <c r="CG7" s="124" t="s">
        <v>45</v>
      </c>
      <c r="CH7" s="125"/>
    </row>
    <row r="8" spans="1:86" ht="12.75">
      <c r="A8" s="125"/>
      <c r="B8" s="125"/>
      <c r="C8" s="125"/>
      <c r="D8" s="125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124"/>
      <c r="CD8" s="124"/>
      <c r="CE8" s="136"/>
      <c r="CF8" s="124"/>
      <c r="CG8" s="124"/>
      <c r="CH8" s="125"/>
    </row>
    <row r="9" spans="1:86" ht="12.75">
      <c r="A9" s="92">
        <v>1</v>
      </c>
      <c r="B9" s="92"/>
      <c r="C9" s="92"/>
      <c r="D9" s="92"/>
      <c r="E9" s="92">
        <v>2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>
        <v>3</v>
      </c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>
        <v>4</v>
      </c>
      <c r="AV9" s="92"/>
      <c r="AW9" s="92"/>
      <c r="AX9" s="92"/>
      <c r="AY9" s="92"/>
      <c r="AZ9" s="92"/>
      <c r="BA9" s="92"/>
      <c r="BB9" s="92"/>
      <c r="BC9" s="92"/>
      <c r="BD9" s="92"/>
      <c r="BE9" s="92">
        <v>5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 t="s">
        <v>54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15">
        <v>7</v>
      </c>
      <c r="CD9" s="15">
        <v>8</v>
      </c>
      <c r="CE9" s="15">
        <v>9</v>
      </c>
      <c r="CF9" s="15">
        <v>10</v>
      </c>
      <c r="CG9" s="15">
        <v>11</v>
      </c>
      <c r="CH9" s="15">
        <v>12</v>
      </c>
    </row>
    <row r="10" spans="1:86" ht="31.5" customHeight="1">
      <c r="A10" s="120">
        <v>1</v>
      </c>
      <c r="B10" s="120"/>
      <c r="C10" s="120"/>
      <c r="D10" s="120"/>
      <c r="E10" s="172" t="s">
        <v>167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89">
        <v>8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>
        <v>12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168">
        <f>BP10/AU10/AJ10</f>
        <v>119.1684375</v>
      </c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>
        <f>CD10+CH10</f>
        <v>11440.17</v>
      </c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7"/>
      <c r="CD10" s="24">
        <v>11440.17</v>
      </c>
      <c r="CE10" s="17"/>
      <c r="CF10" s="17"/>
      <c r="CG10" s="17"/>
      <c r="CH10" s="15"/>
    </row>
    <row r="11" spans="1:86" ht="24" customHeight="1">
      <c r="A11" s="120">
        <f>A10+1</f>
        <v>2</v>
      </c>
      <c r="B11" s="120"/>
      <c r="C11" s="120"/>
      <c r="D11" s="120"/>
      <c r="E11" s="172" t="s">
        <v>168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89">
        <v>7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>
        <v>12</v>
      </c>
      <c r="AV11" s="89"/>
      <c r="AW11" s="89"/>
      <c r="AX11" s="89"/>
      <c r="AY11" s="89"/>
      <c r="AZ11" s="89"/>
      <c r="BA11" s="89"/>
      <c r="BB11" s="89"/>
      <c r="BC11" s="89"/>
      <c r="BD11" s="89"/>
      <c r="BE11" s="168">
        <v>102.762</v>
      </c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>
        <f>AJ11*AU11*BE11-0.01</f>
        <v>8631.998</v>
      </c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7"/>
      <c r="CD11" s="24">
        <f>BP11</f>
        <v>8631.998</v>
      </c>
      <c r="CE11" s="17"/>
      <c r="CF11" s="17"/>
      <c r="CG11" s="17"/>
      <c r="CH11" s="17"/>
    </row>
    <row r="12" spans="1:86" ht="21" customHeight="1">
      <c r="A12" s="120">
        <f>A11+1</f>
        <v>3</v>
      </c>
      <c r="B12" s="120"/>
      <c r="C12" s="120"/>
      <c r="D12" s="120"/>
      <c r="E12" s="172" t="s">
        <v>169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89">
        <v>1</v>
      </c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>
        <v>12</v>
      </c>
      <c r="AV12" s="89"/>
      <c r="AW12" s="89"/>
      <c r="AX12" s="89"/>
      <c r="AY12" s="89"/>
      <c r="AZ12" s="89"/>
      <c r="BA12" s="89"/>
      <c r="BB12" s="89"/>
      <c r="BC12" s="89"/>
      <c r="BD12" s="89"/>
      <c r="BE12" s="168">
        <f>BP12/AU12</f>
        <v>3600</v>
      </c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>
        <f>CD12</f>
        <v>43200</v>
      </c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7"/>
      <c r="CD12" s="24">
        <v>43200</v>
      </c>
      <c r="CE12" s="17"/>
      <c r="CF12" s="17"/>
      <c r="CG12" s="17"/>
      <c r="CH12" s="17"/>
    </row>
    <row r="13" spans="1:86" ht="12.75">
      <c r="A13" s="161" t="s">
        <v>88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06" t="s">
        <v>3</v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08"/>
      <c r="AU13" s="106" t="s">
        <v>3</v>
      </c>
      <c r="AV13" s="107"/>
      <c r="AW13" s="107"/>
      <c r="AX13" s="107"/>
      <c r="AY13" s="107"/>
      <c r="AZ13" s="107"/>
      <c r="BA13" s="107"/>
      <c r="BB13" s="107"/>
      <c r="BC13" s="107"/>
      <c r="BD13" s="108"/>
      <c r="BE13" s="106" t="s">
        <v>3</v>
      </c>
      <c r="BF13" s="107"/>
      <c r="BG13" s="107"/>
      <c r="BH13" s="107"/>
      <c r="BI13" s="107"/>
      <c r="BJ13" s="107"/>
      <c r="BK13" s="107"/>
      <c r="BL13" s="107"/>
      <c r="BM13" s="107"/>
      <c r="BN13" s="107"/>
      <c r="BO13" s="108"/>
      <c r="BP13" s="173">
        <f>SUM(BP10:CB12)</f>
        <v>63272.168</v>
      </c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5"/>
      <c r="CC13" s="23"/>
      <c r="CD13" s="23">
        <f>SUM(CD10:CD12)</f>
        <v>63272.168</v>
      </c>
      <c r="CE13" s="21"/>
      <c r="CF13" s="21"/>
      <c r="CG13" s="21"/>
      <c r="CH13" s="23"/>
    </row>
    <row r="14" spans="1:86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8"/>
      <c r="CD14" s="18"/>
      <c r="CE14" s="18"/>
      <c r="CF14" s="18"/>
      <c r="CG14" s="18"/>
      <c r="CH14" s="18"/>
    </row>
    <row r="15" spans="1:86" ht="12.75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8"/>
      <c r="CD15" s="18"/>
      <c r="CE15" s="18"/>
      <c r="CF15" s="18"/>
      <c r="CG15" s="18"/>
      <c r="CH15" s="18"/>
    </row>
    <row r="16" spans="1:86" ht="12.75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8"/>
      <c r="CD16" s="18"/>
      <c r="CE16" s="18"/>
      <c r="CF16" s="18"/>
      <c r="CG16" s="18"/>
      <c r="CH16" s="18"/>
    </row>
    <row r="17" s="1" customFormat="1" ht="15" hidden="1"/>
    <row r="18" spans="1:80" s="3" customFormat="1" ht="15">
      <c r="A18" s="19" t="s">
        <v>128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20" spans="1:86" ht="12.75">
      <c r="A20" s="125" t="s">
        <v>39</v>
      </c>
      <c r="B20" s="125"/>
      <c r="C20" s="125"/>
      <c r="D20" s="125"/>
      <c r="E20" s="92" t="s">
        <v>4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125" t="s">
        <v>89</v>
      </c>
      <c r="AO20" s="125"/>
      <c r="AP20" s="125"/>
      <c r="AQ20" s="125"/>
      <c r="AR20" s="125"/>
      <c r="AS20" s="125"/>
      <c r="AT20" s="125"/>
      <c r="AU20" s="125"/>
      <c r="AV20" s="125"/>
      <c r="AW20" s="125" t="s">
        <v>90</v>
      </c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92" t="s">
        <v>6</v>
      </c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120" t="s">
        <v>66</v>
      </c>
      <c r="CD20" s="120"/>
      <c r="CE20" s="120"/>
      <c r="CF20" s="120"/>
      <c r="CG20" s="120"/>
      <c r="CH20" s="120"/>
    </row>
    <row r="21" spans="1:86" ht="80.25" customHeight="1">
      <c r="A21" s="125"/>
      <c r="B21" s="125"/>
      <c r="C21" s="125"/>
      <c r="D21" s="12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125" t="s">
        <v>36</v>
      </c>
      <c r="CD21" s="125"/>
      <c r="CE21" s="125" t="s">
        <v>46</v>
      </c>
      <c r="CF21" s="125"/>
      <c r="CG21" s="125"/>
      <c r="CH21" s="125" t="s">
        <v>47</v>
      </c>
    </row>
    <row r="22" spans="1:86" ht="12.75">
      <c r="A22" s="125"/>
      <c r="B22" s="125"/>
      <c r="C22" s="125"/>
      <c r="D22" s="125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124" t="s">
        <v>44</v>
      </c>
      <c r="CD22" s="124" t="s">
        <v>45</v>
      </c>
      <c r="CE22" s="124" t="s">
        <v>83</v>
      </c>
      <c r="CF22" s="124" t="s">
        <v>44</v>
      </c>
      <c r="CG22" s="124" t="s">
        <v>45</v>
      </c>
      <c r="CH22" s="125"/>
    </row>
    <row r="23" spans="1:86" ht="12.75">
      <c r="A23" s="125"/>
      <c r="B23" s="125"/>
      <c r="C23" s="125"/>
      <c r="D23" s="125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124"/>
      <c r="CD23" s="124"/>
      <c r="CE23" s="124"/>
      <c r="CF23" s="124"/>
      <c r="CG23" s="124"/>
      <c r="CH23" s="125"/>
    </row>
    <row r="24" spans="1:86" ht="12.75">
      <c r="A24" s="92">
        <v>1</v>
      </c>
      <c r="B24" s="92"/>
      <c r="C24" s="92"/>
      <c r="D24" s="92"/>
      <c r="E24" s="92">
        <v>2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>
        <v>3</v>
      </c>
      <c r="AO24" s="92"/>
      <c r="AP24" s="92"/>
      <c r="AQ24" s="92"/>
      <c r="AR24" s="92"/>
      <c r="AS24" s="92"/>
      <c r="AT24" s="92"/>
      <c r="AU24" s="92"/>
      <c r="AV24" s="92"/>
      <c r="AW24" s="92">
        <v>4</v>
      </c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 t="s">
        <v>58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15">
        <v>6</v>
      </c>
      <c r="CD24" s="15">
        <v>7</v>
      </c>
      <c r="CE24" s="15">
        <v>8</v>
      </c>
      <c r="CF24" s="15">
        <v>9</v>
      </c>
      <c r="CG24" s="15">
        <v>10</v>
      </c>
      <c r="CH24" s="15">
        <v>11</v>
      </c>
    </row>
    <row r="25" spans="1:86" ht="51.75" customHeight="1">
      <c r="A25" s="120">
        <v>1</v>
      </c>
      <c r="B25" s="120"/>
      <c r="C25" s="120"/>
      <c r="D25" s="120"/>
      <c r="E25" s="172" t="s">
        <v>201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20">
        <v>1</v>
      </c>
      <c r="AO25" s="120"/>
      <c r="AP25" s="120"/>
      <c r="AQ25" s="120"/>
      <c r="AR25" s="120"/>
      <c r="AS25" s="120"/>
      <c r="AT25" s="120"/>
      <c r="AU25" s="120"/>
      <c r="AV25" s="120"/>
      <c r="AW25" s="83">
        <v>2400</v>
      </c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5"/>
      <c r="BJ25" s="83">
        <f aca="true" t="shared" si="0" ref="BJ25:BJ34">AW25</f>
        <v>2400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15"/>
      <c r="CD25" s="25">
        <f aca="true" t="shared" si="1" ref="CD25:CD34">BJ25</f>
        <v>2400</v>
      </c>
      <c r="CE25" s="15"/>
      <c r="CF25" s="15"/>
      <c r="CG25" s="15"/>
      <c r="CH25" s="15"/>
    </row>
    <row r="26" spans="1:86" ht="51.75" customHeight="1">
      <c r="A26" s="120">
        <f aca="true" t="shared" si="2" ref="A26:A39">A25+1</f>
        <v>2</v>
      </c>
      <c r="B26" s="120"/>
      <c r="C26" s="120"/>
      <c r="D26" s="120"/>
      <c r="E26" s="172" t="s">
        <v>202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20">
        <v>1</v>
      </c>
      <c r="AO26" s="120"/>
      <c r="AP26" s="120"/>
      <c r="AQ26" s="120"/>
      <c r="AR26" s="120"/>
      <c r="AS26" s="120"/>
      <c r="AT26" s="120"/>
      <c r="AU26" s="120"/>
      <c r="AV26" s="120"/>
      <c r="AW26" s="83">
        <v>2400</v>
      </c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83">
        <f t="shared" si="0"/>
        <v>2400</v>
      </c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  <c r="CC26" s="15"/>
      <c r="CD26" s="25">
        <f t="shared" si="1"/>
        <v>2400</v>
      </c>
      <c r="CE26" s="15"/>
      <c r="CF26" s="15"/>
      <c r="CG26" s="15"/>
      <c r="CH26" s="15"/>
    </row>
    <row r="27" spans="1:86" ht="51.75" customHeight="1">
      <c r="A27" s="120">
        <f t="shared" si="2"/>
        <v>3</v>
      </c>
      <c r="B27" s="120"/>
      <c r="C27" s="120"/>
      <c r="D27" s="120"/>
      <c r="E27" s="172" t="s">
        <v>203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20">
        <v>1</v>
      </c>
      <c r="AO27" s="120"/>
      <c r="AP27" s="120"/>
      <c r="AQ27" s="120"/>
      <c r="AR27" s="120"/>
      <c r="AS27" s="120"/>
      <c r="AT27" s="120"/>
      <c r="AU27" s="120"/>
      <c r="AV27" s="120"/>
      <c r="AW27" s="83">
        <v>7850</v>
      </c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5"/>
      <c r="BJ27" s="83">
        <f t="shared" si="0"/>
        <v>7850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  <c r="CC27" s="15"/>
      <c r="CD27" s="25">
        <f t="shared" si="1"/>
        <v>7850</v>
      </c>
      <c r="CE27" s="15"/>
      <c r="CF27" s="15"/>
      <c r="CG27" s="15"/>
      <c r="CH27" s="15"/>
    </row>
    <row r="28" spans="1:86" ht="60" customHeight="1">
      <c r="A28" s="120">
        <f t="shared" si="2"/>
        <v>4</v>
      </c>
      <c r="B28" s="120"/>
      <c r="C28" s="120"/>
      <c r="D28" s="120"/>
      <c r="E28" s="172" t="s">
        <v>204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20">
        <v>1</v>
      </c>
      <c r="AO28" s="120"/>
      <c r="AP28" s="120"/>
      <c r="AQ28" s="120"/>
      <c r="AR28" s="120"/>
      <c r="AS28" s="120"/>
      <c r="AT28" s="120"/>
      <c r="AU28" s="120"/>
      <c r="AV28" s="120"/>
      <c r="AW28" s="83">
        <v>2400</v>
      </c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83">
        <f t="shared" si="0"/>
        <v>2400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5"/>
      <c r="CC28" s="15"/>
      <c r="CD28" s="25">
        <f t="shared" si="1"/>
        <v>2400</v>
      </c>
      <c r="CE28" s="15"/>
      <c r="CF28" s="15"/>
      <c r="CG28" s="15"/>
      <c r="CH28" s="15"/>
    </row>
    <row r="29" spans="1:86" ht="51.75" customHeight="1">
      <c r="A29" s="120">
        <f t="shared" si="2"/>
        <v>5</v>
      </c>
      <c r="B29" s="120"/>
      <c r="C29" s="120"/>
      <c r="D29" s="120"/>
      <c r="E29" s="172" t="s">
        <v>205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20">
        <v>1</v>
      </c>
      <c r="AO29" s="120"/>
      <c r="AP29" s="120"/>
      <c r="AQ29" s="120"/>
      <c r="AR29" s="120"/>
      <c r="AS29" s="120"/>
      <c r="AT29" s="120"/>
      <c r="AU29" s="120"/>
      <c r="AV29" s="120"/>
      <c r="AW29" s="83">
        <v>2400</v>
      </c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5"/>
      <c r="BJ29" s="83">
        <f t="shared" si="0"/>
        <v>2400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5"/>
      <c r="CC29" s="15"/>
      <c r="CD29" s="25">
        <f t="shared" si="1"/>
        <v>2400</v>
      </c>
      <c r="CE29" s="15"/>
      <c r="CF29" s="15"/>
      <c r="CG29" s="15"/>
      <c r="CH29" s="15"/>
    </row>
    <row r="30" spans="1:86" ht="55.5" customHeight="1">
      <c r="A30" s="120">
        <f t="shared" si="2"/>
        <v>6</v>
      </c>
      <c r="B30" s="120"/>
      <c r="C30" s="120"/>
      <c r="D30" s="120"/>
      <c r="E30" s="172" t="s">
        <v>206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20">
        <v>1</v>
      </c>
      <c r="AO30" s="120"/>
      <c r="AP30" s="120"/>
      <c r="AQ30" s="120"/>
      <c r="AR30" s="120"/>
      <c r="AS30" s="120"/>
      <c r="AT30" s="120"/>
      <c r="AU30" s="120"/>
      <c r="AV30" s="120"/>
      <c r="AW30" s="83">
        <f>2400+6600</f>
        <v>9000</v>
      </c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5"/>
      <c r="BJ30" s="83">
        <f t="shared" si="0"/>
        <v>9000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5"/>
      <c r="CC30" s="15"/>
      <c r="CD30" s="25">
        <f t="shared" si="1"/>
        <v>9000</v>
      </c>
      <c r="CE30" s="15"/>
      <c r="CF30" s="15"/>
      <c r="CG30" s="15"/>
      <c r="CH30" s="15"/>
    </row>
    <row r="31" spans="1:86" ht="55.5" customHeight="1">
      <c r="A31" s="120">
        <f t="shared" si="2"/>
        <v>7</v>
      </c>
      <c r="B31" s="120"/>
      <c r="C31" s="120"/>
      <c r="D31" s="120"/>
      <c r="E31" s="172" t="s">
        <v>207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20">
        <v>1</v>
      </c>
      <c r="AO31" s="120"/>
      <c r="AP31" s="120"/>
      <c r="AQ31" s="120"/>
      <c r="AR31" s="120"/>
      <c r="AS31" s="120"/>
      <c r="AT31" s="120"/>
      <c r="AU31" s="120"/>
      <c r="AV31" s="120"/>
      <c r="AW31" s="83">
        <v>2400</v>
      </c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5"/>
      <c r="BJ31" s="83">
        <f t="shared" si="0"/>
        <v>2400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5"/>
      <c r="CC31" s="15"/>
      <c r="CD31" s="25">
        <f t="shared" si="1"/>
        <v>2400</v>
      </c>
      <c r="CE31" s="15"/>
      <c r="CF31" s="15"/>
      <c r="CG31" s="15"/>
      <c r="CH31" s="15"/>
    </row>
    <row r="32" spans="1:86" ht="60" customHeight="1">
      <c r="A32" s="120">
        <f t="shared" si="2"/>
        <v>8</v>
      </c>
      <c r="B32" s="120"/>
      <c r="C32" s="120"/>
      <c r="D32" s="120"/>
      <c r="E32" s="172" t="s">
        <v>208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20">
        <v>1</v>
      </c>
      <c r="AO32" s="120"/>
      <c r="AP32" s="120"/>
      <c r="AQ32" s="120"/>
      <c r="AR32" s="120"/>
      <c r="AS32" s="120"/>
      <c r="AT32" s="120"/>
      <c r="AU32" s="120"/>
      <c r="AV32" s="120"/>
      <c r="AW32" s="83">
        <v>2400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/>
      <c r="BJ32" s="83">
        <f t="shared" si="0"/>
        <v>2400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  <c r="CC32" s="15"/>
      <c r="CD32" s="25">
        <f t="shared" si="1"/>
        <v>2400</v>
      </c>
      <c r="CE32" s="15"/>
      <c r="CF32" s="15"/>
      <c r="CG32" s="15"/>
      <c r="CH32" s="15"/>
    </row>
    <row r="33" spans="1:86" ht="72" customHeight="1">
      <c r="A33" s="120">
        <f t="shared" si="2"/>
        <v>9</v>
      </c>
      <c r="B33" s="120"/>
      <c r="C33" s="120"/>
      <c r="D33" s="120"/>
      <c r="E33" s="172" t="s">
        <v>209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20">
        <v>1</v>
      </c>
      <c r="AO33" s="120"/>
      <c r="AP33" s="120"/>
      <c r="AQ33" s="120"/>
      <c r="AR33" s="120"/>
      <c r="AS33" s="120"/>
      <c r="AT33" s="120"/>
      <c r="AU33" s="120"/>
      <c r="AV33" s="120"/>
      <c r="AW33" s="83">
        <v>2400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3">
        <f t="shared" si="0"/>
        <v>2400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15"/>
      <c r="CD33" s="25">
        <f t="shared" si="1"/>
        <v>2400</v>
      </c>
      <c r="CE33" s="15"/>
      <c r="CF33" s="15"/>
      <c r="CG33" s="15"/>
      <c r="CH33" s="15"/>
    </row>
    <row r="34" spans="1:86" ht="60" customHeight="1">
      <c r="A34" s="120">
        <f t="shared" si="2"/>
        <v>10</v>
      </c>
      <c r="B34" s="120"/>
      <c r="C34" s="120"/>
      <c r="D34" s="120"/>
      <c r="E34" s="172" t="s">
        <v>210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20">
        <v>1</v>
      </c>
      <c r="AO34" s="120"/>
      <c r="AP34" s="120"/>
      <c r="AQ34" s="120"/>
      <c r="AR34" s="120"/>
      <c r="AS34" s="120"/>
      <c r="AT34" s="120"/>
      <c r="AU34" s="120"/>
      <c r="AV34" s="120"/>
      <c r="AW34" s="83">
        <v>2400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5"/>
      <c r="BJ34" s="83">
        <f t="shared" si="0"/>
        <v>2400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5"/>
      <c r="CD34" s="25">
        <f t="shared" si="1"/>
        <v>2400</v>
      </c>
      <c r="CE34" s="15"/>
      <c r="CF34" s="15"/>
      <c r="CG34" s="15"/>
      <c r="CH34" s="15"/>
    </row>
    <row r="35" spans="1:86" ht="40.5" customHeight="1">
      <c r="A35" s="120">
        <f t="shared" si="2"/>
        <v>11</v>
      </c>
      <c r="B35" s="120"/>
      <c r="C35" s="120"/>
      <c r="D35" s="120"/>
      <c r="E35" s="172" t="s">
        <v>211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20">
        <v>1</v>
      </c>
      <c r="AO35" s="120"/>
      <c r="AP35" s="120"/>
      <c r="AQ35" s="120"/>
      <c r="AR35" s="120"/>
      <c r="AS35" s="120"/>
      <c r="AT35" s="120"/>
      <c r="AU35" s="120"/>
      <c r="AV35" s="120"/>
      <c r="AW35" s="83">
        <v>2400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5"/>
      <c r="BJ35" s="83">
        <v>2400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5"/>
      <c r="CD35" s="25">
        <f>BJ35</f>
        <v>2400</v>
      </c>
      <c r="CE35" s="15"/>
      <c r="CF35" s="15"/>
      <c r="CG35" s="15"/>
      <c r="CH35" s="15"/>
    </row>
    <row r="36" spans="1:86" ht="40.5" customHeight="1">
      <c r="A36" s="120">
        <f t="shared" si="2"/>
        <v>12</v>
      </c>
      <c r="B36" s="120"/>
      <c r="C36" s="120"/>
      <c r="D36" s="120"/>
      <c r="E36" s="172" t="s">
        <v>212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20">
        <v>1</v>
      </c>
      <c r="AO36" s="120"/>
      <c r="AP36" s="120"/>
      <c r="AQ36" s="120"/>
      <c r="AR36" s="120"/>
      <c r="AS36" s="120"/>
      <c r="AT36" s="120"/>
      <c r="AU36" s="120"/>
      <c r="AV36" s="120"/>
      <c r="AW36" s="83">
        <v>6200</v>
      </c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5"/>
      <c r="BJ36" s="83">
        <v>6200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15"/>
      <c r="CD36" s="25">
        <f>BJ36</f>
        <v>6200</v>
      </c>
      <c r="CE36" s="15"/>
      <c r="CF36" s="15"/>
      <c r="CG36" s="15"/>
      <c r="CH36" s="15"/>
    </row>
    <row r="37" spans="1:86" ht="48" customHeight="1">
      <c r="A37" s="120">
        <f t="shared" si="2"/>
        <v>13</v>
      </c>
      <c r="B37" s="120"/>
      <c r="C37" s="120"/>
      <c r="D37" s="120"/>
      <c r="E37" s="172" t="s">
        <v>213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20">
        <v>2</v>
      </c>
      <c r="AO37" s="120"/>
      <c r="AP37" s="120"/>
      <c r="AQ37" s="120"/>
      <c r="AR37" s="120"/>
      <c r="AS37" s="120"/>
      <c r="AT37" s="120"/>
      <c r="AU37" s="120"/>
      <c r="AV37" s="120"/>
      <c r="AW37" s="83">
        <f>BJ37/AN37</f>
        <v>6100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5"/>
      <c r="BJ37" s="83">
        <v>12200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5"/>
      <c r="CC37" s="15"/>
      <c r="CD37" s="25">
        <f>BJ37</f>
        <v>12200</v>
      </c>
      <c r="CE37" s="15"/>
      <c r="CF37" s="15"/>
      <c r="CG37" s="15"/>
      <c r="CH37" s="15"/>
    </row>
    <row r="38" spans="1:86" ht="24.75" customHeight="1">
      <c r="A38" s="120">
        <f t="shared" si="2"/>
        <v>14</v>
      </c>
      <c r="B38" s="120"/>
      <c r="C38" s="120"/>
      <c r="D38" s="120"/>
      <c r="E38" s="172" t="s">
        <v>214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20">
        <v>1</v>
      </c>
      <c r="AO38" s="120"/>
      <c r="AP38" s="120"/>
      <c r="AQ38" s="120"/>
      <c r="AR38" s="120"/>
      <c r="AS38" s="120"/>
      <c r="AT38" s="120"/>
      <c r="AU38" s="120"/>
      <c r="AV38" s="120"/>
      <c r="AW38" s="83">
        <v>3000</v>
      </c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83">
        <v>3000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15"/>
      <c r="CD38" s="25">
        <f>BJ38</f>
        <v>3000</v>
      </c>
      <c r="CE38" s="15"/>
      <c r="CF38" s="15"/>
      <c r="CG38" s="15"/>
      <c r="CH38" s="15"/>
    </row>
    <row r="39" spans="1:86" ht="48" customHeight="1">
      <c r="A39" s="120">
        <f t="shared" si="2"/>
        <v>15</v>
      </c>
      <c r="B39" s="120"/>
      <c r="C39" s="120"/>
      <c r="D39" s="120"/>
      <c r="E39" s="172" t="s">
        <v>215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20">
        <v>1</v>
      </c>
      <c r="AO39" s="120"/>
      <c r="AP39" s="120"/>
      <c r="AQ39" s="120"/>
      <c r="AR39" s="120"/>
      <c r="AS39" s="120"/>
      <c r="AT39" s="120"/>
      <c r="AU39" s="120"/>
      <c r="AV39" s="120"/>
      <c r="AW39" s="83">
        <v>6800</v>
      </c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5"/>
      <c r="BJ39" s="83">
        <v>6800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15"/>
      <c r="CD39" s="25">
        <f>BJ39</f>
        <v>6800</v>
      </c>
      <c r="CE39" s="15"/>
      <c r="CF39" s="15"/>
      <c r="CG39" s="15"/>
      <c r="CH39" s="15"/>
    </row>
    <row r="40" spans="1:86" ht="12.75">
      <c r="A40" s="161" t="s">
        <v>91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3"/>
      <c r="AN40" s="89"/>
      <c r="AO40" s="89"/>
      <c r="AP40" s="89"/>
      <c r="AQ40" s="89"/>
      <c r="AR40" s="89"/>
      <c r="AS40" s="89"/>
      <c r="AT40" s="89"/>
      <c r="AU40" s="89"/>
      <c r="AV40" s="89"/>
      <c r="AW40" s="168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157">
        <f>SUM(BJ25:CB39)</f>
        <v>66650</v>
      </c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3"/>
      <c r="CD40" s="23">
        <f>SUM(CD25:CD39)</f>
        <v>66650</v>
      </c>
      <c r="CE40" s="21"/>
      <c r="CF40" s="21"/>
      <c r="CG40" s="21"/>
      <c r="CH40" s="23"/>
    </row>
    <row r="41" spans="2:80" s="3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2:80" s="3" customFormat="1" ht="15" hidden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2:80" s="3" customFormat="1" ht="15" hidden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2:80" s="3" customFormat="1" ht="15" hidden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2:80" s="3" customFormat="1" ht="15" hidden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2:80" s="3" customFormat="1" ht="15" hidden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2:80" s="3" customFormat="1" ht="15" hidden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2:80" s="3" customFormat="1" ht="15" hidden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3" customFormat="1" ht="15">
      <c r="A49" s="19" t="s">
        <v>129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1" spans="1:86" ht="12.75">
      <c r="A51" s="125" t="s">
        <v>39</v>
      </c>
      <c r="B51" s="125"/>
      <c r="C51" s="125"/>
      <c r="D51" s="125"/>
      <c r="E51" s="92" t="s">
        <v>30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25" t="s">
        <v>92</v>
      </c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 t="s">
        <v>93</v>
      </c>
      <c r="AV51" s="125"/>
      <c r="AW51" s="125"/>
      <c r="AX51" s="125"/>
      <c r="AY51" s="125"/>
      <c r="AZ51" s="125"/>
      <c r="BA51" s="125"/>
      <c r="BB51" s="125"/>
      <c r="BC51" s="125"/>
      <c r="BD51" s="125"/>
      <c r="BE51" s="92" t="s">
        <v>94</v>
      </c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 t="s">
        <v>6</v>
      </c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120" t="s">
        <v>66</v>
      </c>
      <c r="CD51" s="120"/>
      <c r="CE51" s="120"/>
      <c r="CF51" s="120"/>
      <c r="CG51" s="120"/>
      <c r="CH51" s="120"/>
    </row>
    <row r="52" spans="1:86" ht="79.5" customHeight="1">
      <c r="A52" s="125"/>
      <c r="B52" s="125"/>
      <c r="C52" s="125"/>
      <c r="D52" s="125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125" t="s">
        <v>36</v>
      </c>
      <c r="CD52" s="125"/>
      <c r="CE52" s="125" t="s">
        <v>46</v>
      </c>
      <c r="CF52" s="125"/>
      <c r="CG52" s="125"/>
      <c r="CH52" s="125" t="s">
        <v>47</v>
      </c>
    </row>
    <row r="53" spans="1:86" ht="12.75">
      <c r="A53" s="125"/>
      <c r="B53" s="125"/>
      <c r="C53" s="125"/>
      <c r="D53" s="125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124" t="s">
        <v>44</v>
      </c>
      <c r="CD53" s="124" t="s">
        <v>45</v>
      </c>
      <c r="CE53" s="124" t="s">
        <v>83</v>
      </c>
      <c r="CF53" s="124" t="s">
        <v>44</v>
      </c>
      <c r="CG53" s="124" t="s">
        <v>45</v>
      </c>
      <c r="CH53" s="125"/>
    </row>
    <row r="54" spans="1:86" ht="12.75">
      <c r="A54" s="125"/>
      <c r="B54" s="125"/>
      <c r="C54" s="125"/>
      <c r="D54" s="125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124"/>
      <c r="CD54" s="124"/>
      <c r="CE54" s="124"/>
      <c r="CF54" s="124"/>
      <c r="CG54" s="124"/>
      <c r="CH54" s="125"/>
    </row>
    <row r="55" spans="1:86" ht="12.75">
      <c r="A55" s="92">
        <v>1</v>
      </c>
      <c r="B55" s="92"/>
      <c r="C55" s="92"/>
      <c r="D55" s="92"/>
      <c r="E55" s="92">
        <v>2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>
        <v>3</v>
      </c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>
        <v>4</v>
      </c>
      <c r="AV55" s="92"/>
      <c r="AW55" s="92"/>
      <c r="AX55" s="92"/>
      <c r="AY55" s="92"/>
      <c r="AZ55" s="92"/>
      <c r="BA55" s="92"/>
      <c r="BB55" s="92"/>
      <c r="BC55" s="92"/>
      <c r="BD55" s="92"/>
      <c r="BE55" s="92">
        <v>5</v>
      </c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 t="s">
        <v>103</v>
      </c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15">
        <v>7</v>
      </c>
      <c r="CD55" s="15">
        <v>8</v>
      </c>
      <c r="CE55" s="15">
        <v>9</v>
      </c>
      <c r="CF55" s="15">
        <v>10</v>
      </c>
      <c r="CG55" s="15">
        <v>11</v>
      </c>
      <c r="CH55" s="15">
        <v>12</v>
      </c>
    </row>
    <row r="56" spans="1:86" ht="33.75" customHeight="1">
      <c r="A56" s="120">
        <v>1</v>
      </c>
      <c r="B56" s="120"/>
      <c r="C56" s="120"/>
      <c r="D56" s="120"/>
      <c r="E56" s="172" t="s">
        <v>185</v>
      </c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89">
        <v>11761</v>
      </c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168">
        <v>9.24</v>
      </c>
      <c r="AV56" s="168"/>
      <c r="AW56" s="168"/>
      <c r="AX56" s="168"/>
      <c r="AY56" s="168"/>
      <c r="AZ56" s="168"/>
      <c r="BA56" s="168"/>
      <c r="BB56" s="168"/>
      <c r="BC56" s="168"/>
      <c r="BD56" s="168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109">
        <f>CD56</f>
        <v>108671.64</v>
      </c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7"/>
      <c r="CD56" s="25">
        <f>AJ56*AU56</f>
        <v>108671.64</v>
      </c>
      <c r="CE56" s="15"/>
      <c r="CF56" s="15"/>
      <c r="CG56" s="15"/>
      <c r="CH56" s="25"/>
    </row>
    <row r="57" spans="1:86" ht="38.25" customHeight="1">
      <c r="A57" s="120">
        <f aca="true" t="shared" si="3" ref="A57:A64">A56+1</f>
        <v>2</v>
      </c>
      <c r="B57" s="120"/>
      <c r="C57" s="120"/>
      <c r="D57" s="120"/>
      <c r="E57" s="172" t="s">
        <v>216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89">
        <v>56.998</v>
      </c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>
        <v>1266.64</v>
      </c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109">
        <f aca="true" t="shared" si="4" ref="BP57:BP62">AJ57*AU57</f>
        <v>72195.94672</v>
      </c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5"/>
      <c r="CD57" s="25">
        <f aca="true" t="shared" si="5" ref="CD57:CD63">BP57</f>
        <v>72195.94672</v>
      </c>
      <c r="CE57" s="15"/>
      <c r="CF57" s="15"/>
      <c r="CG57" s="15"/>
      <c r="CH57" s="25"/>
    </row>
    <row r="58" spans="1:86" ht="36" customHeight="1">
      <c r="A58" s="120">
        <f t="shared" si="3"/>
        <v>3</v>
      </c>
      <c r="B58" s="120"/>
      <c r="C58" s="120"/>
      <c r="D58" s="120"/>
      <c r="E58" s="172" t="s">
        <v>216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89">
        <v>27.193</v>
      </c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>
        <v>1424.75</v>
      </c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109">
        <f t="shared" si="4"/>
        <v>38743.22675</v>
      </c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5"/>
      <c r="CD58" s="25">
        <f t="shared" si="5"/>
        <v>38743.22675</v>
      </c>
      <c r="CE58" s="15"/>
      <c r="CF58" s="15"/>
      <c r="CG58" s="15"/>
      <c r="CH58" s="15"/>
    </row>
    <row r="59" spans="1:86" ht="28.5" customHeight="1">
      <c r="A59" s="120">
        <f t="shared" si="3"/>
        <v>4</v>
      </c>
      <c r="B59" s="120"/>
      <c r="C59" s="120"/>
      <c r="D59" s="120"/>
      <c r="E59" s="172" t="s">
        <v>194</v>
      </c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89">
        <v>5.5</v>
      </c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>
        <v>49.51</v>
      </c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109">
        <f t="shared" si="4"/>
        <v>272.305</v>
      </c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5"/>
      <c r="CD59" s="25">
        <f t="shared" si="5"/>
        <v>272.305</v>
      </c>
      <c r="CE59" s="17"/>
      <c r="CF59" s="17"/>
      <c r="CG59" s="17"/>
      <c r="CH59" s="17"/>
    </row>
    <row r="60" spans="1:86" ht="25.5" customHeight="1">
      <c r="A60" s="120">
        <f t="shared" si="3"/>
        <v>5</v>
      </c>
      <c r="B60" s="120"/>
      <c r="C60" s="120"/>
      <c r="D60" s="120"/>
      <c r="E60" s="172" t="s">
        <v>195</v>
      </c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89">
        <v>4.872</v>
      </c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>
        <v>50.12</v>
      </c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109">
        <f t="shared" si="4"/>
        <v>244.18463999999997</v>
      </c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5"/>
      <c r="CD60" s="25">
        <f t="shared" si="5"/>
        <v>244.18463999999997</v>
      </c>
      <c r="CE60" s="17"/>
      <c r="CF60" s="17"/>
      <c r="CG60" s="17"/>
      <c r="CH60" s="17"/>
    </row>
    <row r="61" spans="1:86" ht="29.25" customHeight="1">
      <c r="A61" s="120">
        <f t="shared" si="3"/>
        <v>6</v>
      </c>
      <c r="B61" s="120"/>
      <c r="C61" s="120"/>
      <c r="D61" s="120"/>
      <c r="E61" s="172" t="s">
        <v>196</v>
      </c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89">
        <v>0.327</v>
      </c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>
        <v>1266.64</v>
      </c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109">
        <f t="shared" si="4"/>
        <v>414.19128000000006</v>
      </c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5"/>
      <c r="CD61" s="25">
        <f t="shared" si="5"/>
        <v>414.19128000000006</v>
      </c>
      <c r="CE61" s="17"/>
      <c r="CF61" s="17"/>
      <c r="CG61" s="17"/>
      <c r="CH61" s="17"/>
    </row>
    <row r="62" spans="1:86" ht="23.25" customHeight="1">
      <c r="A62" s="120">
        <f t="shared" si="3"/>
        <v>7</v>
      </c>
      <c r="B62" s="120"/>
      <c r="C62" s="120"/>
      <c r="D62" s="120"/>
      <c r="E62" s="172" t="s">
        <v>197</v>
      </c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89">
        <v>0.208</v>
      </c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>
        <v>1424.75</v>
      </c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109">
        <f t="shared" si="4"/>
        <v>296.348</v>
      </c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5"/>
      <c r="CD62" s="25">
        <f t="shared" si="5"/>
        <v>296.348</v>
      </c>
      <c r="CE62" s="17"/>
      <c r="CF62" s="17"/>
      <c r="CG62" s="17"/>
      <c r="CH62" s="17"/>
    </row>
    <row r="63" spans="1:86" ht="39.75" customHeight="1">
      <c r="A63" s="120">
        <f t="shared" si="3"/>
        <v>8</v>
      </c>
      <c r="B63" s="120"/>
      <c r="C63" s="120"/>
      <c r="D63" s="120"/>
      <c r="E63" s="172" t="s">
        <v>186</v>
      </c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89">
        <v>12</v>
      </c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>
        <v>1033.2</v>
      </c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109">
        <f>AJ63*AU63+0.04</f>
        <v>12398.440000000002</v>
      </c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5"/>
      <c r="CD63" s="25">
        <f t="shared" si="5"/>
        <v>12398.440000000002</v>
      </c>
      <c r="CE63" s="17"/>
      <c r="CF63" s="17"/>
      <c r="CG63" s="17"/>
      <c r="CH63" s="17"/>
    </row>
    <row r="64" spans="1:86" ht="18" customHeight="1">
      <c r="A64" s="120">
        <f t="shared" si="3"/>
        <v>9</v>
      </c>
      <c r="B64" s="120"/>
      <c r="C64" s="120"/>
      <c r="D64" s="120"/>
      <c r="E64" s="172" t="s">
        <v>198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109">
        <f>CD64</f>
        <v>47834.81</v>
      </c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5"/>
      <c r="CD64" s="25">
        <v>47834.81</v>
      </c>
      <c r="CE64" s="17"/>
      <c r="CF64" s="17"/>
      <c r="CG64" s="17"/>
      <c r="CH64" s="17"/>
    </row>
    <row r="65" spans="1:86" ht="12.75">
      <c r="A65" s="161" t="s">
        <v>95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3"/>
      <c r="AJ65" s="106" t="s">
        <v>3</v>
      </c>
      <c r="AK65" s="107"/>
      <c r="AL65" s="107"/>
      <c r="AM65" s="107"/>
      <c r="AN65" s="107"/>
      <c r="AO65" s="107"/>
      <c r="AP65" s="107"/>
      <c r="AQ65" s="107"/>
      <c r="AR65" s="107"/>
      <c r="AS65" s="107"/>
      <c r="AT65" s="108"/>
      <c r="AU65" s="106" t="s">
        <v>3</v>
      </c>
      <c r="AV65" s="107"/>
      <c r="AW65" s="107"/>
      <c r="AX65" s="107"/>
      <c r="AY65" s="107"/>
      <c r="AZ65" s="107"/>
      <c r="BA65" s="107"/>
      <c r="BB65" s="107"/>
      <c r="BC65" s="107"/>
      <c r="BD65" s="108"/>
      <c r="BE65" s="106" t="s">
        <v>3</v>
      </c>
      <c r="BF65" s="107"/>
      <c r="BG65" s="107"/>
      <c r="BH65" s="107"/>
      <c r="BI65" s="107"/>
      <c r="BJ65" s="107"/>
      <c r="BK65" s="107"/>
      <c r="BL65" s="107"/>
      <c r="BM65" s="107"/>
      <c r="BN65" s="107"/>
      <c r="BO65" s="108"/>
      <c r="BP65" s="173">
        <f>SUM(BP56:CB64)</f>
        <v>281071.09239</v>
      </c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5"/>
      <c r="CC65" s="23"/>
      <c r="CD65" s="23">
        <f>SUM(CD56:CD64)</f>
        <v>281071.09239</v>
      </c>
      <c r="CE65" s="23"/>
      <c r="CF65" s="23"/>
      <c r="CG65" s="23"/>
      <c r="CH65" s="23"/>
    </row>
    <row r="66" s="1" customFormat="1" ht="15"/>
    <row r="67" spans="1:80" s="3" customFormat="1" ht="15" hidden="1">
      <c r="A67" s="19" t="s">
        <v>130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ht="12.75" hidden="1"/>
    <row r="69" spans="1:86" ht="12.75" customHeight="1" hidden="1">
      <c r="A69" s="125" t="s">
        <v>39</v>
      </c>
      <c r="B69" s="125"/>
      <c r="C69" s="125"/>
      <c r="D69" s="125"/>
      <c r="E69" s="92" t="s">
        <v>30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 t="s">
        <v>5</v>
      </c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125" t="s">
        <v>96</v>
      </c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 t="s">
        <v>97</v>
      </c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0" t="s">
        <v>66</v>
      </c>
      <c r="CD69" s="120"/>
      <c r="CE69" s="120"/>
      <c r="CF69" s="120"/>
      <c r="CG69" s="120"/>
      <c r="CH69" s="120"/>
    </row>
    <row r="70" spans="1:86" ht="80.25" customHeight="1" hidden="1">
      <c r="A70" s="125"/>
      <c r="B70" s="125"/>
      <c r="C70" s="125"/>
      <c r="D70" s="125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 t="s">
        <v>36</v>
      </c>
      <c r="CD70" s="125"/>
      <c r="CE70" s="125" t="s">
        <v>46</v>
      </c>
      <c r="CF70" s="125"/>
      <c r="CG70" s="125"/>
      <c r="CH70" s="125" t="s">
        <v>47</v>
      </c>
    </row>
    <row r="71" spans="1:86" ht="12.75" hidden="1">
      <c r="A71" s="125"/>
      <c r="B71" s="125"/>
      <c r="C71" s="125"/>
      <c r="D71" s="125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4" t="s">
        <v>44</v>
      </c>
      <c r="CD71" s="124" t="s">
        <v>45</v>
      </c>
      <c r="CE71" s="124" t="s">
        <v>83</v>
      </c>
      <c r="CF71" s="124" t="s">
        <v>44</v>
      </c>
      <c r="CG71" s="124" t="s">
        <v>45</v>
      </c>
      <c r="CH71" s="125"/>
    </row>
    <row r="72" spans="1:86" ht="12.75" hidden="1">
      <c r="A72" s="125"/>
      <c r="B72" s="125"/>
      <c r="C72" s="125"/>
      <c r="D72" s="125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4"/>
      <c r="CD72" s="124"/>
      <c r="CE72" s="124"/>
      <c r="CF72" s="124"/>
      <c r="CG72" s="124"/>
      <c r="CH72" s="125"/>
    </row>
    <row r="73" spans="1:86" ht="12.75" hidden="1">
      <c r="A73" s="92">
        <v>1</v>
      </c>
      <c r="B73" s="92"/>
      <c r="C73" s="92"/>
      <c r="D73" s="92"/>
      <c r="E73" s="92">
        <v>2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>
        <v>3</v>
      </c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>
        <v>4</v>
      </c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 t="s">
        <v>58</v>
      </c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15">
        <v>6</v>
      </c>
      <c r="CD73" s="15">
        <v>7</v>
      </c>
      <c r="CE73" s="15">
        <v>8</v>
      </c>
      <c r="CF73" s="15">
        <v>9</v>
      </c>
      <c r="CG73" s="15">
        <v>10</v>
      </c>
      <c r="CH73" s="15">
        <v>11</v>
      </c>
    </row>
    <row r="74" spans="1:86" ht="12.75" hidden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17"/>
      <c r="CD74" s="17"/>
      <c r="CE74" s="17"/>
      <c r="CF74" s="17"/>
      <c r="CG74" s="17"/>
      <c r="CH74" s="17"/>
    </row>
    <row r="75" spans="1:86" ht="12.75" hidden="1">
      <c r="A75" s="86" t="s">
        <v>98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8"/>
      <c r="AR75" s="120" t="s">
        <v>3</v>
      </c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 t="s">
        <v>3</v>
      </c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 t="s">
        <v>3</v>
      </c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7"/>
      <c r="CD75" s="17"/>
      <c r="CE75" s="17"/>
      <c r="CF75" s="17"/>
      <c r="CG75" s="17"/>
      <c r="CH75" s="17"/>
    </row>
    <row r="76" s="1" customFormat="1" ht="15"/>
  </sheetData>
  <sheetProtection/>
  <mergeCells count="250">
    <mergeCell ref="BE60:BO60"/>
    <mergeCell ref="BP60:CB60"/>
    <mergeCell ref="A62:D62"/>
    <mergeCell ref="E62:AI62"/>
    <mergeCell ref="AJ62:AT62"/>
    <mergeCell ref="AU62:BD62"/>
    <mergeCell ref="BE62:BO62"/>
    <mergeCell ref="BP62:CB62"/>
    <mergeCell ref="A60:D60"/>
    <mergeCell ref="E60:AI60"/>
    <mergeCell ref="CE53:CE54"/>
    <mergeCell ref="CF53:CF54"/>
    <mergeCell ref="CC51:CH51"/>
    <mergeCell ref="CC52:CD52"/>
    <mergeCell ref="CE52:CG52"/>
    <mergeCell ref="CH52:CH54"/>
    <mergeCell ref="CC53:CC54"/>
    <mergeCell ref="CD53:CD54"/>
    <mergeCell ref="CE22:CE23"/>
    <mergeCell ref="CF22:CF23"/>
    <mergeCell ref="CG22:CG23"/>
    <mergeCell ref="CC20:CH20"/>
    <mergeCell ref="CC21:CD21"/>
    <mergeCell ref="CE21:CG21"/>
    <mergeCell ref="CH21:CH23"/>
    <mergeCell ref="CC22:CC23"/>
    <mergeCell ref="BD69:BN72"/>
    <mergeCell ref="A73:D73"/>
    <mergeCell ref="E73:AQ73"/>
    <mergeCell ref="E69:AQ72"/>
    <mergeCell ref="A69:D72"/>
    <mergeCell ref="CD22:CD23"/>
    <mergeCell ref="BJ26:CB26"/>
    <mergeCell ref="A58:D58"/>
    <mergeCell ref="E58:AI58"/>
    <mergeCell ref="AJ58:AT58"/>
    <mergeCell ref="AR73:BC73"/>
    <mergeCell ref="BD73:BN73"/>
    <mergeCell ref="BO73:CB73"/>
    <mergeCell ref="BO74:CB74"/>
    <mergeCell ref="A75:AQ75"/>
    <mergeCell ref="AR75:BC75"/>
    <mergeCell ref="BD75:BN75"/>
    <mergeCell ref="BO75:CB75"/>
    <mergeCell ref="BP56:CB56"/>
    <mergeCell ref="AJ65:AT65"/>
    <mergeCell ref="AU65:BD65"/>
    <mergeCell ref="BE65:BO65"/>
    <mergeCell ref="BP65:CB65"/>
    <mergeCell ref="A74:D74"/>
    <mergeCell ref="E74:AQ74"/>
    <mergeCell ref="AR74:BC74"/>
    <mergeCell ref="BD74:BN74"/>
    <mergeCell ref="BO69:CB72"/>
    <mergeCell ref="CH70:CH72"/>
    <mergeCell ref="CC71:CC72"/>
    <mergeCell ref="CD71:CD72"/>
    <mergeCell ref="CE71:CE72"/>
    <mergeCell ref="BP63:CB63"/>
    <mergeCell ref="A55:D55"/>
    <mergeCell ref="E55:AI55"/>
    <mergeCell ref="AJ55:AT55"/>
    <mergeCell ref="AU55:BD55"/>
    <mergeCell ref="BE55:BO55"/>
    <mergeCell ref="CG71:CG72"/>
    <mergeCell ref="E12:AI12"/>
    <mergeCell ref="AJ12:AT12"/>
    <mergeCell ref="AU12:BD12"/>
    <mergeCell ref="AN20:AV23"/>
    <mergeCell ref="E20:AM23"/>
    <mergeCell ref="CG53:CG54"/>
    <mergeCell ref="BE51:BO54"/>
    <mergeCell ref="E51:AI54"/>
    <mergeCell ref="CC69:CH69"/>
    <mergeCell ref="BP13:CB13"/>
    <mergeCell ref="AW20:BI23"/>
    <mergeCell ref="BJ20:CB23"/>
    <mergeCell ref="A13:AI13"/>
    <mergeCell ref="A20:D23"/>
    <mergeCell ref="CF71:CF72"/>
    <mergeCell ref="CC70:CD70"/>
    <mergeCell ref="CE70:CG70"/>
    <mergeCell ref="BP55:CB55"/>
    <mergeCell ref="AR69:BC72"/>
    <mergeCell ref="AJ10:AT10"/>
    <mergeCell ref="AU10:BD10"/>
    <mergeCell ref="BE10:BO10"/>
    <mergeCell ref="AU11:BD11"/>
    <mergeCell ref="AU13:BD13"/>
    <mergeCell ref="BE13:BO13"/>
    <mergeCell ref="A12:D12"/>
    <mergeCell ref="A9:D9"/>
    <mergeCell ref="A10:D10"/>
    <mergeCell ref="E9:AI9"/>
    <mergeCell ref="AJ9:AT9"/>
    <mergeCell ref="AJ13:AT13"/>
    <mergeCell ref="AJ11:AT11"/>
    <mergeCell ref="A11:D11"/>
    <mergeCell ref="E11:AI11"/>
    <mergeCell ref="E10:AI10"/>
    <mergeCell ref="AW40:BI40"/>
    <mergeCell ref="AN40:AV40"/>
    <mergeCell ref="A40:AM40"/>
    <mergeCell ref="BP51:CB54"/>
    <mergeCell ref="BJ40:CB40"/>
    <mergeCell ref="E63:AI63"/>
    <mergeCell ref="AJ63:AT63"/>
    <mergeCell ref="AU63:BD63"/>
    <mergeCell ref="BE63:BO63"/>
    <mergeCell ref="E57:AI57"/>
    <mergeCell ref="CE6:CG6"/>
    <mergeCell ref="CE7:CE8"/>
    <mergeCell ref="BP10:CB10"/>
    <mergeCell ref="BE11:BO11"/>
    <mergeCell ref="BP11:CB11"/>
    <mergeCell ref="AN24:AV24"/>
    <mergeCell ref="BJ24:CB24"/>
    <mergeCell ref="AU9:BD9"/>
    <mergeCell ref="BE9:BO9"/>
    <mergeCell ref="BP9:CB9"/>
    <mergeCell ref="CC7:CC8"/>
    <mergeCell ref="CD7:CD8"/>
    <mergeCell ref="CF7:CF8"/>
    <mergeCell ref="CG7:CG8"/>
    <mergeCell ref="BE12:BO12"/>
    <mergeCell ref="BP12:CB12"/>
    <mergeCell ref="AW26:BI26"/>
    <mergeCell ref="CC5:CH5"/>
    <mergeCell ref="CC6:CD6"/>
    <mergeCell ref="A5:D8"/>
    <mergeCell ref="E5:AI8"/>
    <mergeCell ref="AJ5:AT8"/>
    <mergeCell ref="AU5:BD8"/>
    <mergeCell ref="BE5:BO8"/>
    <mergeCell ref="BP5:CB8"/>
    <mergeCell ref="CH6:CH8"/>
    <mergeCell ref="AU56:BD56"/>
    <mergeCell ref="BE56:BO56"/>
    <mergeCell ref="AW24:BI24"/>
    <mergeCell ref="A25:D25"/>
    <mergeCell ref="E25:AM25"/>
    <mergeCell ref="AN25:AV25"/>
    <mergeCell ref="AW25:BI25"/>
    <mergeCell ref="BJ25:CB25"/>
    <mergeCell ref="A26:D26"/>
    <mergeCell ref="E26:AM26"/>
    <mergeCell ref="A56:D56"/>
    <mergeCell ref="E56:AI56"/>
    <mergeCell ref="AJ56:AT56"/>
    <mergeCell ref="A57:D57"/>
    <mergeCell ref="A24:D24"/>
    <mergeCell ref="E24:AM24"/>
    <mergeCell ref="AN26:AV26"/>
    <mergeCell ref="A51:D54"/>
    <mergeCell ref="AJ51:AT54"/>
    <mergeCell ref="AU51:BD54"/>
    <mergeCell ref="AJ57:AT57"/>
    <mergeCell ref="AU57:BD57"/>
    <mergeCell ref="BE57:BO57"/>
    <mergeCell ref="BP57:CB57"/>
    <mergeCell ref="AU58:BD58"/>
    <mergeCell ref="BE58:BO58"/>
    <mergeCell ref="BP58:CB58"/>
    <mergeCell ref="AU61:BD61"/>
    <mergeCell ref="AJ60:AT60"/>
    <mergeCell ref="AU60:BD60"/>
    <mergeCell ref="A59:D59"/>
    <mergeCell ref="E59:AI59"/>
    <mergeCell ref="AJ59:AT59"/>
    <mergeCell ref="AU59:BD59"/>
    <mergeCell ref="AW29:BI29"/>
    <mergeCell ref="BE59:BO59"/>
    <mergeCell ref="BP59:CB59"/>
    <mergeCell ref="A65:AI65"/>
    <mergeCell ref="E64:AI64"/>
    <mergeCell ref="AJ64:AT64"/>
    <mergeCell ref="AU64:BD64"/>
    <mergeCell ref="A61:D61"/>
    <mergeCell ref="E61:AI61"/>
    <mergeCell ref="AJ61:AT61"/>
    <mergeCell ref="BJ30:CB30"/>
    <mergeCell ref="A63:D63"/>
    <mergeCell ref="A28:D28"/>
    <mergeCell ref="E28:AM28"/>
    <mergeCell ref="AN28:AV28"/>
    <mergeCell ref="AW28:BI28"/>
    <mergeCell ref="BJ28:CB28"/>
    <mergeCell ref="A29:D29"/>
    <mergeCell ref="E29:AM29"/>
    <mergeCell ref="AN29:AV29"/>
    <mergeCell ref="A32:D32"/>
    <mergeCell ref="E32:AM32"/>
    <mergeCell ref="AN32:AV32"/>
    <mergeCell ref="AW32:BI32"/>
    <mergeCell ref="BJ32:CB32"/>
    <mergeCell ref="BE64:BO64"/>
    <mergeCell ref="BP64:CB64"/>
    <mergeCell ref="A64:D64"/>
    <mergeCell ref="BE61:BO61"/>
    <mergeCell ref="BP61:CB61"/>
    <mergeCell ref="AW31:BI31"/>
    <mergeCell ref="A27:D27"/>
    <mergeCell ref="E27:AM27"/>
    <mergeCell ref="AN27:AV27"/>
    <mergeCell ref="AW27:BI27"/>
    <mergeCell ref="BJ27:CB27"/>
    <mergeCell ref="A30:D30"/>
    <mergeCell ref="E30:AM30"/>
    <mergeCell ref="AN30:AV30"/>
    <mergeCell ref="AW30:BI30"/>
    <mergeCell ref="AW33:BI33"/>
    <mergeCell ref="BJ29:CB29"/>
    <mergeCell ref="A34:D34"/>
    <mergeCell ref="E34:AM34"/>
    <mergeCell ref="AN34:AV34"/>
    <mergeCell ref="AW34:BI34"/>
    <mergeCell ref="BJ34:CB34"/>
    <mergeCell ref="A31:D31"/>
    <mergeCell ref="E31:AM31"/>
    <mergeCell ref="AN31:AV31"/>
    <mergeCell ref="AW35:BI35"/>
    <mergeCell ref="BJ31:CB31"/>
    <mergeCell ref="A36:D36"/>
    <mergeCell ref="E36:AM36"/>
    <mergeCell ref="AN36:AV36"/>
    <mergeCell ref="AW36:BI36"/>
    <mergeCell ref="BJ36:CB36"/>
    <mergeCell ref="A33:D33"/>
    <mergeCell ref="E33:AM33"/>
    <mergeCell ref="AN33:AV33"/>
    <mergeCell ref="AW37:BI37"/>
    <mergeCell ref="BJ33:CB33"/>
    <mergeCell ref="A38:D38"/>
    <mergeCell ref="E38:AM38"/>
    <mergeCell ref="AN38:AV38"/>
    <mergeCell ref="AW38:BI38"/>
    <mergeCell ref="BJ38:CB38"/>
    <mergeCell ref="A35:D35"/>
    <mergeCell ref="E35:AM35"/>
    <mergeCell ref="AN35:AV35"/>
    <mergeCell ref="BJ37:CB37"/>
    <mergeCell ref="BJ35:CB35"/>
    <mergeCell ref="A39:D39"/>
    <mergeCell ref="E39:AM39"/>
    <mergeCell ref="AN39:AV39"/>
    <mergeCell ref="AW39:BI39"/>
    <mergeCell ref="BJ39:CB39"/>
    <mergeCell ref="A37:D37"/>
    <mergeCell ref="E37:AM37"/>
    <mergeCell ref="AN37:AV3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</sheetPr>
  <dimension ref="A1:CH123"/>
  <sheetViews>
    <sheetView tabSelected="1" zoomScalePageLayoutView="0" workbookViewId="0" topLeftCell="A100">
      <selection activeCell="AN14" sqref="AN14:BC14"/>
    </sheetView>
  </sheetViews>
  <sheetFormatPr defaultColWidth="1.12109375" defaultRowHeight="12.75"/>
  <cols>
    <col min="1" max="39" width="1.12109375" style="40" customWidth="1"/>
    <col min="40" max="40" width="1.12109375" style="40" hidden="1" customWidth="1"/>
    <col min="41" max="43" width="1.12109375" style="40" customWidth="1"/>
    <col min="44" max="44" width="3.875" style="40" customWidth="1"/>
    <col min="45" max="80" width="1.12109375" style="40" customWidth="1"/>
    <col min="81" max="81" width="9.50390625" style="40" customWidth="1"/>
    <col min="82" max="82" width="11.50390625" style="40" customWidth="1"/>
    <col min="83" max="83" width="12.625" style="40" customWidth="1"/>
    <col min="84" max="85" width="11.50390625" style="40" customWidth="1"/>
    <col min="86" max="86" width="15.125" style="40" customWidth="1"/>
    <col min="87" max="16384" width="1.12109375" style="40" customWidth="1"/>
  </cols>
  <sheetData>
    <row r="1" spans="1:86" s="34" customFormat="1" ht="15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0" s="36" customFormat="1" ht="7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</row>
    <row r="3" spans="1:86" ht="12.75" customHeight="1">
      <c r="A3" s="195" t="s">
        <v>39</v>
      </c>
      <c r="B3" s="196"/>
      <c r="C3" s="196"/>
      <c r="D3" s="197"/>
      <c r="E3" s="220" t="s">
        <v>4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2"/>
      <c r="AN3" s="195" t="s">
        <v>63</v>
      </c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7"/>
      <c r="BD3" s="195" t="s">
        <v>62</v>
      </c>
      <c r="BE3" s="196"/>
      <c r="BF3" s="196"/>
      <c r="BG3" s="196"/>
      <c r="BH3" s="196"/>
      <c r="BI3" s="196"/>
      <c r="BJ3" s="196"/>
      <c r="BK3" s="196"/>
      <c r="BL3" s="196"/>
      <c r="BM3" s="197"/>
      <c r="BN3" s="195" t="s">
        <v>64</v>
      </c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7"/>
      <c r="CC3" s="78" t="s">
        <v>66</v>
      </c>
      <c r="CD3" s="78"/>
      <c r="CE3" s="78"/>
      <c r="CF3" s="78"/>
      <c r="CG3" s="78"/>
      <c r="CH3" s="78"/>
    </row>
    <row r="4" spans="1:86" ht="78.75" customHeight="1">
      <c r="A4" s="198"/>
      <c r="B4" s="199"/>
      <c r="C4" s="199"/>
      <c r="D4" s="200"/>
      <c r="E4" s="223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5"/>
      <c r="AN4" s="198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200"/>
      <c r="BD4" s="198"/>
      <c r="BE4" s="199"/>
      <c r="BF4" s="199"/>
      <c r="BG4" s="199"/>
      <c r="BH4" s="199"/>
      <c r="BI4" s="199"/>
      <c r="BJ4" s="199"/>
      <c r="BK4" s="199"/>
      <c r="BL4" s="199"/>
      <c r="BM4" s="200"/>
      <c r="BN4" s="198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200"/>
      <c r="CC4" s="76" t="s">
        <v>36</v>
      </c>
      <c r="CD4" s="76"/>
      <c r="CE4" s="69" t="s">
        <v>46</v>
      </c>
      <c r="CF4" s="79"/>
      <c r="CG4" s="70"/>
      <c r="CH4" s="63" t="s">
        <v>47</v>
      </c>
    </row>
    <row r="5" spans="1:86" ht="12.75" customHeight="1">
      <c r="A5" s="198"/>
      <c r="B5" s="199"/>
      <c r="C5" s="199"/>
      <c r="D5" s="200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5"/>
      <c r="AN5" s="198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200"/>
      <c r="BD5" s="198"/>
      <c r="BE5" s="199"/>
      <c r="BF5" s="199"/>
      <c r="BG5" s="199"/>
      <c r="BH5" s="199"/>
      <c r="BI5" s="199"/>
      <c r="BJ5" s="199"/>
      <c r="BK5" s="199"/>
      <c r="BL5" s="199"/>
      <c r="BM5" s="200"/>
      <c r="BN5" s="198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200"/>
      <c r="CC5" s="75" t="s">
        <v>44</v>
      </c>
      <c r="CD5" s="75" t="s">
        <v>45</v>
      </c>
      <c r="CE5" s="209" t="s">
        <v>83</v>
      </c>
      <c r="CF5" s="75" t="s">
        <v>44</v>
      </c>
      <c r="CG5" s="75" t="s">
        <v>45</v>
      </c>
      <c r="CH5" s="64"/>
    </row>
    <row r="6" spans="1:86" ht="12.75" customHeight="1">
      <c r="A6" s="201"/>
      <c r="B6" s="202"/>
      <c r="C6" s="202"/>
      <c r="D6" s="203"/>
      <c r="E6" s="226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8"/>
      <c r="AN6" s="201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3"/>
      <c r="BD6" s="201"/>
      <c r="BE6" s="202"/>
      <c r="BF6" s="202"/>
      <c r="BG6" s="202"/>
      <c r="BH6" s="202"/>
      <c r="BI6" s="202"/>
      <c r="BJ6" s="202"/>
      <c r="BK6" s="202"/>
      <c r="BL6" s="202"/>
      <c r="BM6" s="203"/>
      <c r="BN6" s="201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3"/>
      <c r="CC6" s="75"/>
      <c r="CD6" s="75"/>
      <c r="CE6" s="210"/>
      <c r="CF6" s="75"/>
      <c r="CG6" s="75"/>
      <c r="CH6" s="65"/>
    </row>
    <row r="7" spans="1:86" ht="12.75">
      <c r="A7" s="204">
        <v>1</v>
      </c>
      <c r="B7" s="204"/>
      <c r="C7" s="204"/>
      <c r="D7" s="204"/>
      <c r="E7" s="204">
        <v>2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>
        <v>3</v>
      </c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>
        <v>4</v>
      </c>
      <c r="BE7" s="204"/>
      <c r="BF7" s="204"/>
      <c r="BG7" s="204"/>
      <c r="BH7" s="204"/>
      <c r="BI7" s="204"/>
      <c r="BJ7" s="204"/>
      <c r="BK7" s="204"/>
      <c r="BL7" s="204"/>
      <c r="BM7" s="204"/>
      <c r="BN7" s="204" t="s">
        <v>58</v>
      </c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43">
        <v>6</v>
      </c>
      <c r="CD7" s="43">
        <v>7</v>
      </c>
      <c r="CE7" s="43">
        <v>8</v>
      </c>
      <c r="CF7" s="43">
        <v>9</v>
      </c>
      <c r="CG7" s="43">
        <v>10</v>
      </c>
      <c r="CH7" s="43">
        <v>11</v>
      </c>
    </row>
    <row r="8" spans="1:86" ht="42.75" customHeight="1">
      <c r="A8" s="78"/>
      <c r="B8" s="78"/>
      <c r="C8" s="78"/>
      <c r="D8" s="78"/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9"/>
      <c r="AK8" s="189"/>
      <c r="AL8" s="189"/>
      <c r="AM8" s="190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52"/>
      <c r="CD8" s="52"/>
      <c r="CE8" s="48"/>
      <c r="CF8" s="48"/>
      <c r="CG8" s="48"/>
      <c r="CH8" s="48"/>
    </row>
    <row r="9" spans="1:86" ht="39" customHeight="1">
      <c r="A9" s="78">
        <f>A8+1</f>
        <v>1</v>
      </c>
      <c r="B9" s="78"/>
      <c r="C9" s="78"/>
      <c r="D9" s="78"/>
      <c r="E9" s="187" t="s">
        <v>181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  <c r="AK9" s="189"/>
      <c r="AL9" s="189"/>
      <c r="AM9" s="190"/>
      <c r="AN9" s="78">
        <f>BN9/BD9</f>
        <v>7114.675</v>
      </c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191">
        <v>2</v>
      </c>
      <c r="BE9" s="191"/>
      <c r="BF9" s="191"/>
      <c r="BG9" s="191"/>
      <c r="BH9" s="191"/>
      <c r="BI9" s="191"/>
      <c r="BJ9" s="191"/>
      <c r="BK9" s="191"/>
      <c r="BL9" s="191"/>
      <c r="BM9" s="191"/>
      <c r="BN9" s="183">
        <v>14229.35</v>
      </c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43"/>
      <c r="CD9" s="52">
        <v>14229.35</v>
      </c>
      <c r="CE9" s="48"/>
      <c r="CF9" s="48"/>
      <c r="CG9" s="48"/>
      <c r="CH9" s="48"/>
    </row>
    <row r="10" spans="1:86" ht="40.5" customHeight="1">
      <c r="A10" s="78">
        <f>A9+1</f>
        <v>2</v>
      </c>
      <c r="B10" s="78"/>
      <c r="C10" s="78"/>
      <c r="D10" s="78"/>
      <c r="E10" s="187" t="s">
        <v>182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9"/>
      <c r="AK10" s="189"/>
      <c r="AL10" s="189"/>
      <c r="AM10" s="190"/>
      <c r="AN10" s="78">
        <f>BN10/BD10</f>
        <v>3400</v>
      </c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191">
        <v>1</v>
      </c>
      <c r="BE10" s="191"/>
      <c r="BF10" s="191"/>
      <c r="BG10" s="191"/>
      <c r="BH10" s="191"/>
      <c r="BI10" s="191"/>
      <c r="BJ10" s="191"/>
      <c r="BK10" s="191"/>
      <c r="BL10" s="191"/>
      <c r="BM10" s="191"/>
      <c r="BN10" s="183">
        <v>3400</v>
      </c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43"/>
      <c r="CD10" s="52">
        <f>BN10</f>
        <v>3400</v>
      </c>
      <c r="CE10" s="48"/>
      <c r="CF10" s="48"/>
      <c r="CG10" s="48"/>
      <c r="CH10" s="48"/>
    </row>
    <row r="11" spans="1:86" ht="24" customHeight="1">
      <c r="A11" s="78">
        <f>'[1]Лист7'!A22+1</f>
        <v>16</v>
      </c>
      <c r="B11" s="78"/>
      <c r="C11" s="78"/>
      <c r="D11" s="78"/>
      <c r="E11" s="187" t="s">
        <v>173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9"/>
      <c r="AK11" s="189"/>
      <c r="AL11" s="189"/>
      <c r="AM11" s="190"/>
      <c r="AN11" s="183">
        <v>10117</v>
      </c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91">
        <v>1</v>
      </c>
      <c r="BE11" s="191"/>
      <c r="BF11" s="191"/>
      <c r="BG11" s="191"/>
      <c r="BH11" s="191"/>
      <c r="BI11" s="191"/>
      <c r="BJ11" s="191"/>
      <c r="BK11" s="191"/>
      <c r="BL11" s="191"/>
      <c r="BM11" s="191"/>
      <c r="BN11" s="183">
        <f>AN11*BD11</f>
        <v>10117</v>
      </c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43"/>
      <c r="CD11" s="52">
        <f>BN11</f>
        <v>10117</v>
      </c>
      <c r="CE11" s="48"/>
      <c r="CF11" s="48"/>
      <c r="CG11" s="48"/>
      <c r="CH11" s="48"/>
    </row>
    <row r="12" spans="1:86" ht="35.25" customHeight="1">
      <c r="A12" s="78" t="e">
        <f>#REF!+1</f>
        <v>#REF!</v>
      </c>
      <c r="B12" s="78"/>
      <c r="C12" s="78"/>
      <c r="D12" s="78"/>
      <c r="E12" s="187" t="s">
        <v>174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9"/>
      <c r="AK12" s="189"/>
      <c r="AL12" s="189"/>
      <c r="AM12" s="190"/>
      <c r="AN12" s="183">
        <v>7765.24</v>
      </c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91">
        <v>1</v>
      </c>
      <c r="BE12" s="191"/>
      <c r="BF12" s="191"/>
      <c r="BG12" s="191"/>
      <c r="BH12" s="191"/>
      <c r="BI12" s="191"/>
      <c r="BJ12" s="191"/>
      <c r="BK12" s="191"/>
      <c r="BL12" s="191"/>
      <c r="BM12" s="191"/>
      <c r="BN12" s="183">
        <f>AN12*BD12</f>
        <v>7765.24</v>
      </c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52"/>
      <c r="CD12" s="52">
        <f>BN12</f>
        <v>7765.24</v>
      </c>
      <c r="CE12" s="48"/>
      <c r="CF12" s="48"/>
      <c r="CG12" s="48"/>
      <c r="CH12" s="48"/>
    </row>
    <row r="13" spans="1:86" ht="40.5" customHeight="1">
      <c r="A13" s="78" t="e">
        <f aca="true" t="shared" si="0" ref="A13:A18">A12+1</f>
        <v>#REF!</v>
      </c>
      <c r="B13" s="78"/>
      <c r="C13" s="78"/>
      <c r="D13" s="78"/>
      <c r="E13" s="187" t="s">
        <v>175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  <c r="AK13" s="189"/>
      <c r="AL13" s="189"/>
      <c r="AM13" s="190"/>
      <c r="AN13" s="183">
        <v>6656</v>
      </c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91">
        <v>2</v>
      </c>
      <c r="BE13" s="191"/>
      <c r="BF13" s="191"/>
      <c r="BG13" s="191"/>
      <c r="BH13" s="191"/>
      <c r="BI13" s="191"/>
      <c r="BJ13" s="191"/>
      <c r="BK13" s="191"/>
      <c r="BL13" s="191"/>
      <c r="BM13" s="191"/>
      <c r="BN13" s="183">
        <f>AN13*BD13</f>
        <v>13312</v>
      </c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43"/>
      <c r="CD13" s="52">
        <f>BN13</f>
        <v>13312</v>
      </c>
      <c r="CE13" s="48"/>
      <c r="CF13" s="48"/>
      <c r="CG13" s="48"/>
      <c r="CH13" s="48"/>
    </row>
    <row r="14" spans="1:86" ht="36.75" customHeight="1">
      <c r="A14" s="78" t="e">
        <f t="shared" si="0"/>
        <v>#REF!</v>
      </c>
      <c r="B14" s="78"/>
      <c r="C14" s="78"/>
      <c r="D14" s="78"/>
      <c r="E14" s="187" t="s">
        <v>176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  <c r="AK14" s="189"/>
      <c r="AL14" s="189"/>
      <c r="AM14" s="190"/>
      <c r="AN14" s="183">
        <v>1587.6</v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91">
        <v>1</v>
      </c>
      <c r="BE14" s="191"/>
      <c r="BF14" s="191"/>
      <c r="BG14" s="191"/>
      <c r="BH14" s="191"/>
      <c r="BI14" s="191"/>
      <c r="BJ14" s="191"/>
      <c r="BK14" s="191"/>
      <c r="BL14" s="191"/>
      <c r="BM14" s="191"/>
      <c r="BN14" s="183">
        <f>AN14*BD14</f>
        <v>1587.6</v>
      </c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43"/>
      <c r="CD14" s="52">
        <v>1587.6</v>
      </c>
      <c r="CE14" s="48"/>
      <c r="CF14" s="48"/>
      <c r="CG14" s="48"/>
      <c r="CH14" s="48"/>
    </row>
    <row r="15" spans="1:86" ht="39.75" customHeight="1">
      <c r="A15" s="78" t="e">
        <f t="shared" si="0"/>
        <v>#REF!</v>
      </c>
      <c r="B15" s="78"/>
      <c r="C15" s="78"/>
      <c r="D15" s="78"/>
      <c r="E15" s="187" t="s">
        <v>177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9"/>
      <c r="AK15" s="189"/>
      <c r="AL15" s="189"/>
      <c r="AM15" s="190"/>
      <c r="AN15" s="78">
        <v>2825.68</v>
      </c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183">
        <v>1</v>
      </c>
      <c r="BE15" s="183"/>
      <c r="BF15" s="183"/>
      <c r="BG15" s="183"/>
      <c r="BH15" s="183"/>
      <c r="BI15" s="183"/>
      <c r="BJ15" s="183"/>
      <c r="BK15" s="183"/>
      <c r="BL15" s="183"/>
      <c r="BM15" s="183"/>
      <c r="BN15" s="183">
        <f>AN15*BD15</f>
        <v>2825.68</v>
      </c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43"/>
      <c r="CD15" s="52">
        <f>BN15</f>
        <v>2825.68</v>
      </c>
      <c r="CE15" s="48"/>
      <c r="CF15" s="48"/>
      <c r="CG15" s="48"/>
      <c r="CH15" s="48"/>
    </row>
    <row r="16" spans="1:86" ht="40.5" customHeight="1">
      <c r="A16" s="78" t="e">
        <f t="shared" si="0"/>
        <v>#REF!</v>
      </c>
      <c r="B16" s="78"/>
      <c r="C16" s="78"/>
      <c r="D16" s="78"/>
      <c r="E16" s="187" t="s">
        <v>178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9"/>
      <c r="AK16" s="189"/>
      <c r="AL16" s="189"/>
      <c r="AM16" s="190"/>
      <c r="AN16" s="78">
        <f>BN16/BD16</f>
        <v>3310.8866666666668</v>
      </c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191">
        <v>12</v>
      </c>
      <c r="BE16" s="191"/>
      <c r="BF16" s="191"/>
      <c r="BG16" s="191"/>
      <c r="BH16" s="191"/>
      <c r="BI16" s="191"/>
      <c r="BJ16" s="191"/>
      <c r="BK16" s="191"/>
      <c r="BL16" s="191"/>
      <c r="BM16" s="191"/>
      <c r="BN16" s="183">
        <v>39730.64</v>
      </c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43"/>
      <c r="CD16" s="52">
        <v>39730.64</v>
      </c>
      <c r="CE16" s="48"/>
      <c r="CF16" s="48"/>
      <c r="CG16" s="48"/>
      <c r="CH16" s="48"/>
    </row>
    <row r="17" spans="1:86" ht="40.5" customHeight="1">
      <c r="A17" s="78" t="e">
        <f t="shared" si="0"/>
        <v>#REF!</v>
      </c>
      <c r="B17" s="78"/>
      <c r="C17" s="78"/>
      <c r="D17" s="78"/>
      <c r="E17" s="187" t="s">
        <v>179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9"/>
      <c r="AK17" s="189"/>
      <c r="AL17" s="189"/>
      <c r="AM17" s="190"/>
      <c r="AN17" s="78">
        <f>BN17/BD17</f>
        <v>1698.61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183">
        <v>12</v>
      </c>
      <c r="BE17" s="183"/>
      <c r="BF17" s="183"/>
      <c r="BG17" s="183"/>
      <c r="BH17" s="183"/>
      <c r="BI17" s="183"/>
      <c r="BJ17" s="183"/>
      <c r="BK17" s="183"/>
      <c r="BL17" s="183"/>
      <c r="BM17" s="183"/>
      <c r="BN17" s="183">
        <v>20383.32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43"/>
      <c r="CD17" s="52">
        <v>20383.32</v>
      </c>
      <c r="CE17" s="48"/>
      <c r="CF17" s="48"/>
      <c r="CG17" s="48"/>
      <c r="CH17" s="48"/>
    </row>
    <row r="18" spans="1:86" ht="33" customHeight="1">
      <c r="A18" s="78" t="e">
        <f t="shared" si="0"/>
        <v>#REF!</v>
      </c>
      <c r="B18" s="78"/>
      <c r="C18" s="78"/>
      <c r="D18" s="78"/>
      <c r="E18" s="187" t="s">
        <v>180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9"/>
      <c r="AK18" s="189"/>
      <c r="AL18" s="189"/>
      <c r="AM18" s="190"/>
      <c r="AN18" s="183">
        <v>4141.386</v>
      </c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78">
        <v>12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183">
        <f>AN18*BD18+0.01</f>
        <v>49696.64200000001</v>
      </c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43"/>
      <c r="CD18" s="52">
        <f>BN18</f>
        <v>49696.64200000001</v>
      </c>
      <c r="CE18" s="48"/>
      <c r="CF18" s="48"/>
      <c r="CG18" s="48"/>
      <c r="CH18" s="48"/>
    </row>
    <row r="19" spans="1:86" ht="12.75">
      <c r="A19" s="205" t="s">
        <v>69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7"/>
      <c r="AN19" s="181" t="s">
        <v>3</v>
      </c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 t="s">
        <v>3</v>
      </c>
      <c r="BE19" s="181"/>
      <c r="BF19" s="181"/>
      <c r="BG19" s="181"/>
      <c r="BH19" s="181"/>
      <c r="BI19" s="181"/>
      <c r="BJ19" s="181"/>
      <c r="BK19" s="181"/>
      <c r="BL19" s="181"/>
      <c r="BM19" s="181"/>
      <c r="BN19" s="181">
        <f>SUM(BN8:CB18)</f>
        <v>163047.472</v>
      </c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51"/>
      <c r="CD19" s="51">
        <f>SUM(CD8:CD18)</f>
        <v>163047.472</v>
      </c>
      <c r="CE19" s="48"/>
      <c r="CF19" s="48"/>
      <c r="CG19" s="51"/>
      <c r="CH19" s="51"/>
    </row>
    <row r="20" s="41" customFormat="1" ht="15"/>
    <row r="21" spans="1:86" s="34" customFormat="1" ht="15">
      <c r="A21" s="38" t="s">
        <v>132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</row>
    <row r="22" spans="1:80" s="36" customFormat="1" ht="7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</row>
    <row r="23" spans="1:86" ht="12.75">
      <c r="A23" s="76" t="s">
        <v>39</v>
      </c>
      <c r="B23" s="76"/>
      <c r="C23" s="76"/>
      <c r="D23" s="76"/>
      <c r="E23" s="204" t="s">
        <v>4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195" t="s">
        <v>63</v>
      </c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7"/>
      <c r="BD23" s="195" t="s">
        <v>62</v>
      </c>
      <c r="BE23" s="196"/>
      <c r="BF23" s="196"/>
      <c r="BG23" s="196"/>
      <c r="BH23" s="196"/>
      <c r="BI23" s="196"/>
      <c r="BJ23" s="196"/>
      <c r="BK23" s="196"/>
      <c r="BL23" s="196"/>
      <c r="BM23" s="197"/>
      <c r="BN23" s="195" t="s">
        <v>64</v>
      </c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7"/>
      <c r="CC23" s="78" t="s">
        <v>66</v>
      </c>
      <c r="CD23" s="78"/>
      <c r="CE23" s="78"/>
      <c r="CF23" s="78"/>
      <c r="CG23" s="78"/>
      <c r="CH23" s="78"/>
    </row>
    <row r="24" spans="1:86" ht="83.25" customHeight="1">
      <c r="A24" s="76"/>
      <c r="B24" s="76"/>
      <c r="C24" s="76"/>
      <c r="D24" s="76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198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200"/>
      <c r="BD24" s="198"/>
      <c r="BE24" s="199"/>
      <c r="BF24" s="199"/>
      <c r="BG24" s="199"/>
      <c r="BH24" s="199"/>
      <c r="BI24" s="199"/>
      <c r="BJ24" s="199"/>
      <c r="BK24" s="199"/>
      <c r="BL24" s="199"/>
      <c r="BM24" s="200"/>
      <c r="BN24" s="198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200"/>
      <c r="CC24" s="76" t="s">
        <v>36</v>
      </c>
      <c r="CD24" s="76"/>
      <c r="CE24" s="69" t="s">
        <v>46</v>
      </c>
      <c r="CF24" s="79"/>
      <c r="CG24" s="70"/>
      <c r="CH24" s="63" t="s">
        <v>47</v>
      </c>
    </row>
    <row r="25" spans="1:86" ht="12.75" customHeight="1">
      <c r="A25" s="76"/>
      <c r="B25" s="76"/>
      <c r="C25" s="76"/>
      <c r="D25" s="76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198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200"/>
      <c r="BD25" s="198"/>
      <c r="BE25" s="199"/>
      <c r="BF25" s="199"/>
      <c r="BG25" s="199"/>
      <c r="BH25" s="199"/>
      <c r="BI25" s="199"/>
      <c r="BJ25" s="199"/>
      <c r="BK25" s="199"/>
      <c r="BL25" s="199"/>
      <c r="BM25" s="200"/>
      <c r="BN25" s="198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200"/>
      <c r="CC25" s="75" t="s">
        <v>44</v>
      </c>
      <c r="CD25" s="75" t="s">
        <v>45</v>
      </c>
      <c r="CE25" s="209" t="s">
        <v>83</v>
      </c>
      <c r="CF25" s="75" t="s">
        <v>44</v>
      </c>
      <c r="CG25" s="75" t="s">
        <v>45</v>
      </c>
      <c r="CH25" s="64"/>
    </row>
    <row r="26" spans="1:86" ht="12.75">
      <c r="A26" s="76"/>
      <c r="B26" s="76"/>
      <c r="C26" s="76"/>
      <c r="D26" s="76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1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3"/>
      <c r="BD26" s="201"/>
      <c r="BE26" s="202"/>
      <c r="BF26" s="202"/>
      <c r="BG26" s="202"/>
      <c r="BH26" s="202"/>
      <c r="BI26" s="202"/>
      <c r="BJ26" s="202"/>
      <c r="BK26" s="202"/>
      <c r="BL26" s="202"/>
      <c r="BM26" s="203"/>
      <c r="BN26" s="201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3"/>
      <c r="CC26" s="75"/>
      <c r="CD26" s="75"/>
      <c r="CE26" s="210"/>
      <c r="CF26" s="75"/>
      <c r="CG26" s="75"/>
      <c r="CH26" s="65"/>
    </row>
    <row r="27" spans="1:86" ht="12.75">
      <c r="A27" s="204">
        <v>1</v>
      </c>
      <c r="B27" s="204"/>
      <c r="C27" s="204"/>
      <c r="D27" s="204"/>
      <c r="E27" s="204">
        <v>2</v>
      </c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>
        <v>3</v>
      </c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>
        <v>4</v>
      </c>
      <c r="BE27" s="204"/>
      <c r="BF27" s="204"/>
      <c r="BG27" s="204"/>
      <c r="BH27" s="204"/>
      <c r="BI27" s="204"/>
      <c r="BJ27" s="204"/>
      <c r="BK27" s="204"/>
      <c r="BL27" s="204"/>
      <c r="BM27" s="204"/>
      <c r="BN27" s="204" t="s">
        <v>58</v>
      </c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43">
        <v>6</v>
      </c>
      <c r="CD27" s="43">
        <v>7</v>
      </c>
      <c r="CE27" s="43">
        <v>8</v>
      </c>
      <c r="CF27" s="43">
        <v>9</v>
      </c>
      <c r="CG27" s="43">
        <v>10</v>
      </c>
      <c r="CH27" s="43">
        <v>11</v>
      </c>
    </row>
    <row r="28" spans="1:86" ht="42.75" customHeight="1">
      <c r="A28" s="78">
        <v>1</v>
      </c>
      <c r="B28" s="78"/>
      <c r="C28" s="78"/>
      <c r="D28" s="78"/>
      <c r="E28" s="187" t="s">
        <v>170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9"/>
      <c r="AK28" s="189"/>
      <c r="AL28" s="189"/>
      <c r="AM28" s="190"/>
      <c r="AN28" s="183">
        <v>2400</v>
      </c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91">
        <v>2</v>
      </c>
      <c r="BE28" s="191"/>
      <c r="BF28" s="191"/>
      <c r="BG28" s="191"/>
      <c r="BH28" s="191"/>
      <c r="BI28" s="191"/>
      <c r="BJ28" s="191"/>
      <c r="BK28" s="191"/>
      <c r="BL28" s="191"/>
      <c r="BM28" s="191"/>
      <c r="BN28" s="183">
        <f>AN28*BD28</f>
        <v>4800</v>
      </c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52"/>
      <c r="CD28" s="52">
        <f>BN28</f>
        <v>4800</v>
      </c>
      <c r="CE28" s="48"/>
      <c r="CF28" s="48"/>
      <c r="CG28" s="48"/>
      <c r="CH28" s="59"/>
    </row>
    <row r="29" spans="1:86" ht="39" customHeight="1">
      <c r="A29" s="78">
        <f>A28+1</f>
        <v>2</v>
      </c>
      <c r="B29" s="78"/>
      <c r="C29" s="78"/>
      <c r="D29" s="78"/>
      <c r="E29" s="187" t="s">
        <v>171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9"/>
      <c r="AK29" s="189"/>
      <c r="AL29" s="189"/>
      <c r="AM29" s="190"/>
      <c r="AN29" s="183">
        <v>2500</v>
      </c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91">
        <v>2</v>
      </c>
      <c r="BE29" s="191"/>
      <c r="BF29" s="191"/>
      <c r="BG29" s="191"/>
      <c r="BH29" s="191"/>
      <c r="BI29" s="191"/>
      <c r="BJ29" s="191"/>
      <c r="BK29" s="191"/>
      <c r="BL29" s="191"/>
      <c r="BM29" s="191"/>
      <c r="BN29" s="183">
        <f>AN29*BD29</f>
        <v>5000</v>
      </c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52"/>
      <c r="CD29" s="52">
        <f>BN29</f>
        <v>5000</v>
      </c>
      <c r="CE29" s="48"/>
      <c r="CF29" s="48"/>
      <c r="CG29" s="48"/>
      <c r="CH29" s="59"/>
    </row>
    <row r="30" spans="1:86" ht="163.5" customHeight="1">
      <c r="A30" s="78">
        <f aca="true" t="shared" si="1" ref="A30:A63">A29+1</f>
        <v>3</v>
      </c>
      <c r="B30" s="78"/>
      <c r="C30" s="78"/>
      <c r="D30" s="78"/>
      <c r="E30" s="187" t="s">
        <v>172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9"/>
      <c r="AK30" s="189"/>
      <c r="AL30" s="189"/>
      <c r="AM30" s="190"/>
      <c r="AN30" s="183">
        <v>60000</v>
      </c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91">
        <v>1</v>
      </c>
      <c r="BE30" s="191"/>
      <c r="BF30" s="191"/>
      <c r="BG30" s="191"/>
      <c r="BH30" s="191"/>
      <c r="BI30" s="191"/>
      <c r="BJ30" s="191"/>
      <c r="BK30" s="191"/>
      <c r="BL30" s="191"/>
      <c r="BM30" s="191"/>
      <c r="BN30" s="183">
        <f>AN30*BD30</f>
        <v>60000</v>
      </c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52"/>
      <c r="CD30" s="52">
        <f>BN30</f>
        <v>60000</v>
      </c>
      <c r="CE30" s="48"/>
      <c r="CF30" s="48"/>
      <c r="CG30" s="48"/>
      <c r="CH30" s="59"/>
    </row>
    <row r="31" spans="1:86" ht="33.75" customHeight="1">
      <c r="A31" s="78">
        <f t="shared" si="1"/>
        <v>4</v>
      </c>
      <c r="B31" s="78"/>
      <c r="C31" s="78"/>
      <c r="D31" s="78"/>
      <c r="E31" s="187" t="s">
        <v>183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  <c r="AK31" s="189"/>
      <c r="AL31" s="189"/>
      <c r="AM31" s="190"/>
      <c r="AN31" s="183">
        <f>BN31/BD31</f>
        <v>4170.565833333333</v>
      </c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91">
        <v>12</v>
      </c>
      <c r="BE31" s="191"/>
      <c r="BF31" s="191"/>
      <c r="BG31" s="191"/>
      <c r="BH31" s="191"/>
      <c r="BI31" s="191"/>
      <c r="BJ31" s="191"/>
      <c r="BK31" s="191"/>
      <c r="BL31" s="191"/>
      <c r="BM31" s="191"/>
      <c r="BN31" s="183">
        <v>50046.79</v>
      </c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52"/>
      <c r="CD31" s="52">
        <f>BN31</f>
        <v>50046.79</v>
      </c>
      <c r="CE31" s="48"/>
      <c r="CF31" s="48"/>
      <c r="CG31" s="48"/>
      <c r="CH31" s="59"/>
    </row>
    <row r="32" spans="1:86" ht="24" customHeight="1">
      <c r="A32" s="78">
        <f t="shared" si="1"/>
        <v>5</v>
      </c>
      <c r="B32" s="78"/>
      <c r="C32" s="78"/>
      <c r="D32" s="78"/>
      <c r="E32" s="187" t="s">
        <v>184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9"/>
      <c r="AK32" s="189"/>
      <c r="AL32" s="189"/>
      <c r="AM32" s="190"/>
      <c r="AN32" s="183">
        <v>4200</v>
      </c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91">
        <v>12</v>
      </c>
      <c r="BE32" s="191"/>
      <c r="BF32" s="191"/>
      <c r="BG32" s="191"/>
      <c r="BH32" s="191"/>
      <c r="BI32" s="191"/>
      <c r="BJ32" s="191"/>
      <c r="BK32" s="191"/>
      <c r="BL32" s="191"/>
      <c r="BM32" s="191"/>
      <c r="BN32" s="183">
        <f>AN32*BD32</f>
        <v>50400</v>
      </c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52"/>
      <c r="CD32" s="52">
        <f>BN32</f>
        <v>50400</v>
      </c>
      <c r="CE32" s="48"/>
      <c r="CF32" s="48"/>
      <c r="CG32" s="48"/>
      <c r="CH32" s="59"/>
    </row>
    <row r="33" spans="1:86" ht="39" customHeight="1">
      <c r="A33" s="78">
        <f t="shared" si="1"/>
        <v>6</v>
      </c>
      <c r="B33" s="78"/>
      <c r="C33" s="78"/>
      <c r="D33" s="78"/>
      <c r="E33" s="187" t="s">
        <v>171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9"/>
      <c r="AK33" s="189"/>
      <c r="AL33" s="189"/>
      <c r="AM33" s="190"/>
      <c r="AN33" s="183">
        <v>2500</v>
      </c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91">
        <v>2</v>
      </c>
      <c r="BE33" s="191"/>
      <c r="BF33" s="191"/>
      <c r="BG33" s="191"/>
      <c r="BH33" s="191"/>
      <c r="BI33" s="191"/>
      <c r="BJ33" s="191"/>
      <c r="BK33" s="191"/>
      <c r="BL33" s="191"/>
      <c r="BM33" s="191"/>
      <c r="BN33" s="183">
        <f>AN33*BD33</f>
        <v>5000</v>
      </c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52"/>
      <c r="CD33" s="52">
        <f aca="true" t="shared" si="2" ref="CD33:CD58">BN33</f>
        <v>5000</v>
      </c>
      <c r="CE33" s="48"/>
      <c r="CF33" s="48"/>
      <c r="CG33" s="48"/>
      <c r="CH33" s="59"/>
    </row>
    <row r="34" spans="1:86" s="41" customFormat="1" ht="45" customHeight="1">
      <c r="A34" s="78">
        <f t="shared" si="1"/>
        <v>7</v>
      </c>
      <c r="B34" s="78"/>
      <c r="C34" s="78"/>
      <c r="D34" s="78"/>
      <c r="E34" s="182" t="s">
        <v>217</v>
      </c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3">
        <v>2000</v>
      </c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0">
        <v>1</v>
      </c>
      <c r="BE34" s="180"/>
      <c r="BF34" s="180"/>
      <c r="BG34" s="180"/>
      <c r="BH34" s="180"/>
      <c r="BI34" s="180"/>
      <c r="BJ34" s="180"/>
      <c r="BK34" s="180"/>
      <c r="BL34" s="180"/>
      <c r="BM34" s="180"/>
      <c r="BN34" s="184">
        <f>AO34</f>
        <v>2000</v>
      </c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52"/>
      <c r="CD34" s="52">
        <f t="shared" si="2"/>
        <v>2000</v>
      </c>
      <c r="CE34" s="48"/>
      <c r="CF34" s="48"/>
      <c r="CG34" s="48"/>
      <c r="CH34" s="48"/>
    </row>
    <row r="35" spans="1:86" s="41" customFormat="1" ht="45" customHeight="1">
      <c r="A35" s="78">
        <f t="shared" si="1"/>
        <v>8</v>
      </c>
      <c r="B35" s="78"/>
      <c r="C35" s="78"/>
      <c r="D35" s="78"/>
      <c r="E35" s="182" t="s">
        <v>218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3">
        <v>2000</v>
      </c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0">
        <v>1</v>
      </c>
      <c r="BE35" s="180"/>
      <c r="BF35" s="180"/>
      <c r="BG35" s="180"/>
      <c r="BH35" s="180"/>
      <c r="BI35" s="180"/>
      <c r="BJ35" s="180"/>
      <c r="BK35" s="180"/>
      <c r="BL35" s="180"/>
      <c r="BM35" s="180"/>
      <c r="BN35" s="184">
        <f>AO35</f>
        <v>2000</v>
      </c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52"/>
      <c r="CD35" s="52">
        <f t="shared" si="2"/>
        <v>2000</v>
      </c>
      <c r="CE35" s="48"/>
      <c r="CF35" s="48"/>
      <c r="CG35" s="48"/>
      <c r="CH35" s="48"/>
    </row>
    <row r="36" spans="1:86" s="41" customFormat="1" ht="45" customHeight="1">
      <c r="A36" s="78">
        <f t="shared" si="1"/>
        <v>9</v>
      </c>
      <c r="B36" s="78"/>
      <c r="C36" s="78"/>
      <c r="D36" s="78"/>
      <c r="E36" s="182" t="s">
        <v>219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>
        <v>20000</v>
      </c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0">
        <v>1</v>
      </c>
      <c r="BE36" s="180"/>
      <c r="BF36" s="180"/>
      <c r="BG36" s="180"/>
      <c r="BH36" s="180"/>
      <c r="BI36" s="180"/>
      <c r="BJ36" s="180"/>
      <c r="BK36" s="180"/>
      <c r="BL36" s="180"/>
      <c r="BM36" s="180"/>
      <c r="BN36" s="184">
        <v>20000</v>
      </c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52"/>
      <c r="CD36" s="52">
        <f t="shared" si="2"/>
        <v>20000</v>
      </c>
      <c r="CE36" s="48"/>
      <c r="CF36" s="48"/>
      <c r="CG36" s="48"/>
      <c r="CH36" s="48"/>
    </row>
    <row r="37" spans="1:86" s="41" customFormat="1" ht="45" customHeight="1">
      <c r="A37" s="78">
        <f t="shared" si="1"/>
        <v>10</v>
      </c>
      <c r="B37" s="78"/>
      <c r="C37" s="78"/>
      <c r="D37" s="78"/>
      <c r="E37" s="182" t="s">
        <v>220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3">
        <v>3000</v>
      </c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0">
        <v>1</v>
      </c>
      <c r="BE37" s="180"/>
      <c r="BF37" s="180"/>
      <c r="BG37" s="180"/>
      <c r="BH37" s="180"/>
      <c r="BI37" s="180"/>
      <c r="BJ37" s="180"/>
      <c r="BK37" s="180"/>
      <c r="BL37" s="180"/>
      <c r="BM37" s="180"/>
      <c r="BN37" s="184">
        <v>3000</v>
      </c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52"/>
      <c r="CD37" s="52">
        <f t="shared" si="2"/>
        <v>3000</v>
      </c>
      <c r="CE37" s="48"/>
      <c r="CF37" s="48"/>
      <c r="CG37" s="48"/>
      <c r="CH37" s="48"/>
    </row>
    <row r="38" spans="1:86" s="41" customFormat="1" ht="45" customHeight="1">
      <c r="A38" s="78">
        <f t="shared" si="1"/>
        <v>11</v>
      </c>
      <c r="B38" s="78"/>
      <c r="C38" s="78"/>
      <c r="D38" s="78"/>
      <c r="E38" s="182" t="s">
        <v>221</v>
      </c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3">
        <v>2000</v>
      </c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0">
        <v>1</v>
      </c>
      <c r="BE38" s="180"/>
      <c r="BF38" s="180"/>
      <c r="BG38" s="180"/>
      <c r="BH38" s="180"/>
      <c r="BI38" s="180"/>
      <c r="BJ38" s="180"/>
      <c r="BK38" s="180"/>
      <c r="BL38" s="180"/>
      <c r="BM38" s="180"/>
      <c r="BN38" s="184">
        <v>2000</v>
      </c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52"/>
      <c r="CD38" s="52">
        <f t="shared" si="2"/>
        <v>2000</v>
      </c>
      <c r="CE38" s="48"/>
      <c r="CF38" s="48"/>
      <c r="CG38" s="48"/>
      <c r="CH38" s="48"/>
    </row>
    <row r="39" spans="1:86" s="41" customFormat="1" ht="56.25" customHeight="1">
      <c r="A39" s="78">
        <f t="shared" si="1"/>
        <v>12</v>
      </c>
      <c r="B39" s="78"/>
      <c r="C39" s="78"/>
      <c r="D39" s="78"/>
      <c r="E39" s="182" t="s">
        <v>222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3">
        <v>2000</v>
      </c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0">
        <v>1</v>
      </c>
      <c r="BE39" s="180"/>
      <c r="BF39" s="180"/>
      <c r="BG39" s="180"/>
      <c r="BH39" s="180"/>
      <c r="BI39" s="180"/>
      <c r="BJ39" s="180"/>
      <c r="BK39" s="180"/>
      <c r="BL39" s="180"/>
      <c r="BM39" s="180"/>
      <c r="BN39" s="184">
        <f aca="true" t="shared" si="3" ref="BN39:BN47">AO39</f>
        <v>2000</v>
      </c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52"/>
      <c r="CD39" s="52">
        <f t="shared" si="2"/>
        <v>2000</v>
      </c>
      <c r="CE39" s="48"/>
      <c r="CF39" s="48"/>
      <c r="CG39" s="48"/>
      <c r="CH39" s="48"/>
    </row>
    <row r="40" spans="1:86" s="41" customFormat="1" ht="45" customHeight="1">
      <c r="A40" s="78">
        <f t="shared" si="1"/>
        <v>13</v>
      </c>
      <c r="B40" s="78"/>
      <c r="C40" s="78"/>
      <c r="D40" s="78"/>
      <c r="E40" s="182" t="s">
        <v>223</v>
      </c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3">
        <v>2000</v>
      </c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0">
        <v>1</v>
      </c>
      <c r="BE40" s="180"/>
      <c r="BF40" s="180"/>
      <c r="BG40" s="180"/>
      <c r="BH40" s="180"/>
      <c r="BI40" s="180"/>
      <c r="BJ40" s="180"/>
      <c r="BK40" s="180"/>
      <c r="BL40" s="180"/>
      <c r="BM40" s="180"/>
      <c r="BN40" s="184">
        <f t="shared" si="3"/>
        <v>2000</v>
      </c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52"/>
      <c r="CD40" s="52">
        <f t="shared" si="2"/>
        <v>2000</v>
      </c>
      <c r="CE40" s="48"/>
      <c r="CF40" s="48"/>
      <c r="CG40" s="48"/>
      <c r="CH40" s="48"/>
    </row>
    <row r="41" spans="1:86" s="41" customFormat="1" ht="45" customHeight="1">
      <c r="A41" s="78">
        <f t="shared" si="1"/>
        <v>14</v>
      </c>
      <c r="B41" s="78"/>
      <c r="C41" s="78"/>
      <c r="D41" s="78"/>
      <c r="E41" s="182" t="s">
        <v>224</v>
      </c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3">
        <v>3000</v>
      </c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0">
        <v>1</v>
      </c>
      <c r="BE41" s="180"/>
      <c r="BF41" s="180"/>
      <c r="BG41" s="180"/>
      <c r="BH41" s="180"/>
      <c r="BI41" s="180"/>
      <c r="BJ41" s="180"/>
      <c r="BK41" s="180"/>
      <c r="BL41" s="180"/>
      <c r="BM41" s="180"/>
      <c r="BN41" s="184">
        <f t="shared" si="3"/>
        <v>3000</v>
      </c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52"/>
      <c r="CD41" s="52">
        <f t="shared" si="2"/>
        <v>3000</v>
      </c>
      <c r="CE41" s="48"/>
      <c r="CF41" s="48"/>
      <c r="CG41" s="48"/>
      <c r="CH41" s="48"/>
    </row>
    <row r="42" spans="1:86" s="41" customFormat="1" ht="45" customHeight="1">
      <c r="A42" s="78">
        <f t="shared" si="1"/>
        <v>15</v>
      </c>
      <c r="B42" s="78"/>
      <c r="C42" s="78"/>
      <c r="D42" s="78"/>
      <c r="E42" s="182" t="s">
        <v>225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3">
        <v>2000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0">
        <v>1</v>
      </c>
      <c r="BE42" s="180"/>
      <c r="BF42" s="180"/>
      <c r="BG42" s="180"/>
      <c r="BH42" s="180"/>
      <c r="BI42" s="180"/>
      <c r="BJ42" s="180"/>
      <c r="BK42" s="180"/>
      <c r="BL42" s="180"/>
      <c r="BM42" s="180"/>
      <c r="BN42" s="184">
        <f t="shared" si="3"/>
        <v>2000</v>
      </c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52"/>
      <c r="CD42" s="52">
        <f t="shared" si="2"/>
        <v>2000</v>
      </c>
      <c r="CE42" s="48"/>
      <c r="CF42" s="48"/>
      <c r="CG42" s="48"/>
      <c r="CH42" s="48"/>
    </row>
    <row r="43" spans="1:86" s="41" customFormat="1" ht="45" customHeight="1">
      <c r="A43" s="78">
        <f t="shared" si="1"/>
        <v>16</v>
      </c>
      <c r="B43" s="78"/>
      <c r="C43" s="78"/>
      <c r="D43" s="78"/>
      <c r="E43" s="182" t="s">
        <v>226</v>
      </c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3">
        <v>54500</v>
      </c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0">
        <v>1</v>
      </c>
      <c r="BE43" s="180"/>
      <c r="BF43" s="180"/>
      <c r="BG43" s="180"/>
      <c r="BH43" s="180"/>
      <c r="BI43" s="180"/>
      <c r="BJ43" s="180"/>
      <c r="BK43" s="180"/>
      <c r="BL43" s="180"/>
      <c r="BM43" s="180"/>
      <c r="BN43" s="184">
        <f t="shared" si="3"/>
        <v>54500</v>
      </c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52"/>
      <c r="CD43" s="52">
        <f t="shared" si="2"/>
        <v>54500</v>
      </c>
      <c r="CE43" s="48"/>
      <c r="CF43" s="48"/>
      <c r="CG43" s="48"/>
      <c r="CH43" s="48"/>
    </row>
    <row r="44" spans="1:86" s="41" customFormat="1" ht="45" customHeight="1">
      <c r="A44" s="78">
        <f t="shared" si="1"/>
        <v>17</v>
      </c>
      <c r="B44" s="78"/>
      <c r="C44" s="78"/>
      <c r="D44" s="78"/>
      <c r="E44" s="182" t="s">
        <v>227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3">
        <v>2000</v>
      </c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0">
        <v>1</v>
      </c>
      <c r="BE44" s="180"/>
      <c r="BF44" s="180"/>
      <c r="BG44" s="180"/>
      <c r="BH44" s="180"/>
      <c r="BI44" s="180"/>
      <c r="BJ44" s="180"/>
      <c r="BK44" s="180"/>
      <c r="BL44" s="180"/>
      <c r="BM44" s="180"/>
      <c r="BN44" s="184">
        <f t="shared" si="3"/>
        <v>2000</v>
      </c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52"/>
      <c r="CD44" s="52">
        <f t="shared" si="2"/>
        <v>2000</v>
      </c>
      <c r="CE44" s="48"/>
      <c r="CF44" s="48"/>
      <c r="CG44" s="48"/>
      <c r="CH44" s="48"/>
    </row>
    <row r="45" spans="1:86" s="41" customFormat="1" ht="54.75" customHeight="1">
      <c r="A45" s="78">
        <f t="shared" si="1"/>
        <v>18</v>
      </c>
      <c r="B45" s="78"/>
      <c r="C45" s="78"/>
      <c r="D45" s="78"/>
      <c r="E45" s="182" t="s">
        <v>228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3">
        <v>2000</v>
      </c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0">
        <v>1</v>
      </c>
      <c r="BE45" s="180"/>
      <c r="BF45" s="180"/>
      <c r="BG45" s="180"/>
      <c r="BH45" s="180"/>
      <c r="BI45" s="180"/>
      <c r="BJ45" s="180"/>
      <c r="BK45" s="180"/>
      <c r="BL45" s="180"/>
      <c r="BM45" s="180"/>
      <c r="BN45" s="184">
        <f t="shared" si="3"/>
        <v>2000</v>
      </c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52"/>
      <c r="CD45" s="52">
        <f t="shared" si="2"/>
        <v>2000</v>
      </c>
      <c r="CE45" s="48"/>
      <c r="CF45" s="48"/>
      <c r="CG45" s="48"/>
      <c r="CH45" s="48"/>
    </row>
    <row r="46" spans="1:86" s="41" customFormat="1" ht="57" customHeight="1">
      <c r="A46" s="78">
        <f t="shared" si="1"/>
        <v>19</v>
      </c>
      <c r="B46" s="78"/>
      <c r="C46" s="78"/>
      <c r="D46" s="78"/>
      <c r="E46" s="182" t="s">
        <v>229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3">
        <v>2000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0">
        <v>1</v>
      </c>
      <c r="BE46" s="180"/>
      <c r="BF46" s="180"/>
      <c r="BG46" s="180"/>
      <c r="BH46" s="180"/>
      <c r="BI46" s="180"/>
      <c r="BJ46" s="180"/>
      <c r="BK46" s="180"/>
      <c r="BL46" s="180"/>
      <c r="BM46" s="180"/>
      <c r="BN46" s="184">
        <f t="shared" si="3"/>
        <v>2000</v>
      </c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52"/>
      <c r="CD46" s="52">
        <f t="shared" si="2"/>
        <v>2000</v>
      </c>
      <c r="CE46" s="48"/>
      <c r="CF46" s="48"/>
      <c r="CG46" s="48"/>
      <c r="CH46" s="48"/>
    </row>
    <row r="47" spans="1:86" s="41" customFormat="1" ht="45" customHeight="1">
      <c r="A47" s="78">
        <f t="shared" si="1"/>
        <v>20</v>
      </c>
      <c r="B47" s="78"/>
      <c r="C47" s="78"/>
      <c r="D47" s="78"/>
      <c r="E47" s="182" t="s">
        <v>230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3">
        <v>2000</v>
      </c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0">
        <v>1</v>
      </c>
      <c r="BE47" s="180"/>
      <c r="BF47" s="180"/>
      <c r="BG47" s="180"/>
      <c r="BH47" s="180"/>
      <c r="BI47" s="180"/>
      <c r="BJ47" s="180"/>
      <c r="BK47" s="180"/>
      <c r="BL47" s="180"/>
      <c r="BM47" s="180"/>
      <c r="BN47" s="184">
        <f t="shared" si="3"/>
        <v>2000</v>
      </c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52"/>
      <c r="CD47" s="52">
        <f t="shared" si="2"/>
        <v>2000</v>
      </c>
      <c r="CE47" s="48"/>
      <c r="CF47" s="48"/>
      <c r="CG47" s="48"/>
      <c r="CH47" s="48"/>
    </row>
    <row r="48" spans="1:86" s="41" customFormat="1" ht="45" customHeight="1">
      <c r="A48" s="78">
        <f t="shared" si="1"/>
        <v>21</v>
      </c>
      <c r="B48" s="78"/>
      <c r="C48" s="78"/>
      <c r="D48" s="78"/>
      <c r="E48" s="182" t="s">
        <v>231</v>
      </c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3">
        <v>18000</v>
      </c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78">
        <v>1</v>
      </c>
      <c r="BE48" s="78"/>
      <c r="BF48" s="78"/>
      <c r="BG48" s="78"/>
      <c r="BH48" s="78"/>
      <c r="BI48" s="78"/>
      <c r="BJ48" s="78"/>
      <c r="BK48" s="78"/>
      <c r="BL48" s="78"/>
      <c r="BM48" s="78"/>
      <c r="BN48" s="184">
        <f aca="true" t="shared" si="4" ref="BN48:BN56">AO48*BD48</f>
        <v>18000</v>
      </c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52"/>
      <c r="CD48" s="52">
        <f t="shared" si="2"/>
        <v>18000</v>
      </c>
      <c r="CE48" s="48"/>
      <c r="CF48" s="48"/>
      <c r="CG48" s="48"/>
      <c r="CH48" s="48"/>
    </row>
    <row r="49" spans="1:86" s="41" customFormat="1" ht="45" customHeight="1">
      <c r="A49" s="78">
        <f t="shared" si="1"/>
        <v>22</v>
      </c>
      <c r="B49" s="78"/>
      <c r="C49" s="78"/>
      <c r="D49" s="78"/>
      <c r="E49" s="182" t="s">
        <v>232</v>
      </c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3">
        <v>6000</v>
      </c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78">
        <v>1</v>
      </c>
      <c r="BE49" s="78"/>
      <c r="BF49" s="78"/>
      <c r="BG49" s="78"/>
      <c r="BH49" s="78"/>
      <c r="BI49" s="78"/>
      <c r="BJ49" s="78"/>
      <c r="BK49" s="78"/>
      <c r="BL49" s="78"/>
      <c r="BM49" s="78"/>
      <c r="BN49" s="184">
        <f t="shared" si="4"/>
        <v>6000</v>
      </c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52"/>
      <c r="CD49" s="52">
        <f t="shared" si="2"/>
        <v>6000</v>
      </c>
      <c r="CE49" s="48"/>
      <c r="CF49" s="48"/>
      <c r="CG49" s="48"/>
      <c r="CH49" s="48"/>
    </row>
    <row r="50" spans="1:86" s="41" customFormat="1" ht="45" customHeight="1">
      <c r="A50" s="78">
        <f t="shared" si="1"/>
        <v>23</v>
      </c>
      <c r="B50" s="78"/>
      <c r="C50" s="78"/>
      <c r="D50" s="78"/>
      <c r="E50" s="182" t="s">
        <v>233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3">
        <v>2000</v>
      </c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78">
        <v>1</v>
      </c>
      <c r="BE50" s="78"/>
      <c r="BF50" s="78"/>
      <c r="BG50" s="78"/>
      <c r="BH50" s="78"/>
      <c r="BI50" s="78"/>
      <c r="BJ50" s="78"/>
      <c r="BK50" s="78"/>
      <c r="BL50" s="78"/>
      <c r="BM50" s="78"/>
      <c r="BN50" s="184">
        <f t="shared" si="4"/>
        <v>2000</v>
      </c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52"/>
      <c r="CD50" s="52">
        <f t="shared" si="2"/>
        <v>2000</v>
      </c>
      <c r="CE50" s="48"/>
      <c r="CF50" s="48"/>
      <c r="CG50" s="48"/>
      <c r="CH50" s="48"/>
    </row>
    <row r="51" spans="1:86" s="41" customFormat="1" ht="45" customHeight="1">
      <c r="A51" s="78">
        <f t="shared" si="1"/>
        <v>24</v>
      </c>
      <c r="B51" s="78"/>
      <c r="C51" s="78"/>
      <c r="D51" s="78"/>
      <c r="E51" s="182" t="s">
        <v>234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3">
        <v>4000</v>
      </c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78">
        <v>4</v>
      </c>
      <c r="BE51" s="78"/>
      <c r="BF51" s="78"/>
      <c r="BG51" s="78"/>
      <c r="BH51" s="78"/>
      <c r="BI51" s="78"/>
      <c r="BJ51" s="78"/>
      <c r="BK51" s="78"/>
      <c r="BL51" s="78"/>
      <c r="BM51" s="78"/>
      <c r="BN51" s="184">
        <f t="shared" si="4"/>
        <v>16000</v>
      </c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52"/>
      <c r="CD51" s="52">
        <f t="shared" si="2"/>
        <v>16000</v>
      </c>
      <c r="CE51" s="48"/>
      <c r="CF51" s="48"/>
      <c r="CG51" s="48"/>
      <c r="CH51" s="48"/>
    </row>
    <row r="52" spans="1:86" s="41" customFormat="1" ht="45" customHeight="1">
      <c r="A52" s="78">
        <f t="shared" si="1"/>
        <v>25</v>
      </c>
      <c r="B52" s="78"/>
      <c r="C52" s="78"/>
      <c r="D52" s="78"/>
      <c r="E52" s="182" t="s">
        <v>235</v>
      </c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3">
        <v>60000</v>
      </c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78">
        <v>2</v>
      </c>
      <c r="BE52" s="78"/>
      <c r="BF52" s="78"/>
      <c r="BG52" s="78"/>
      <c r="BH52" s="78"/>
      <c r="BI52" s="78"/>
      <c r="BJ52" s="78"/>
      <c r="BK52" s="78"/>
      <c r="BL52" s="78"/>
      <c r="BM52" s="78"/>
      <c r="BN52" s="184">
        <f t="shared" si="4"/>
        <v>120000</v>
      </c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52"/>
      <c r="CD52" s="52">
        <f t="shared" si="2"/>
        <v>120000</v>
      </c>
      <c r="CE52" s="48"/>
      <c r="CF52" s="48"/>
      <c r="CG52" s="48"/>
      <c r="CH52" s="48"/>
    </row>
    <row r="53" spans="1:86" s="41" customFormat="1" ht="45" customHeight="1">
      <c r="A53" s="78">
        <f t="shared" si="1"/>
        <v>26</v>
      </c>
      <c r="B53" s="78"/>
      <c r="C53" s="78"/>
      <c r="D53" s="78"/>
      <c r="E53" s="182" t="s">
        <v>236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3">
        <v>27500</v>
      </c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78">
        <v>1</v>
      </c>
      <c r="BE53" s="78"/>
      <c r="BF53" s="78"/>
      <c r="BG53" s="78"/>
      <c r="BH53" s="78"/>
      <c r="BI53" s="78"/>
      <c r="BJ53" s="78"/>
      <c r="BK53" s="78"/>
      <c r="BL53" s="78"/>
      <c r="BM53" s="78"/>
      <c r="BN53" s="184">
        <f t="shared" si="4"/>
        <v>27500</v>
      </c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52"/>
      <c r="CD53" s="52">
        <f t="shared" si="2"/>
        <v>27500</v>
      </c>
      <c r="CE53" s="48"/>
      <c r="CF53" s="48"/>
      <c r="CG53" s="48"/>
      <c r="CH53" s="48"/>
    </row>
    <row r="54" spans="1:86" s="41" customFormat="1" ht="45" customHeight="1">
      <c r="A54" s="78">
        <f t="shared" si="1"/>
        <v>27</v>
      </c>
      <c r="B54" s="78"/>
      <c r="C54" s="78"/>
      <c r="D54" s="78"/>
      <c r="E54" s="182" t="s">
        <v>237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3">
        <v>2500</v>
      </c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78">
        <v>4</v>
      </c>
      <c r="BE54" s="78"/>
      <c r="BF54" s="78"/>
      <c r="BG54" s="78"/>
      <c r="BH54" s="78"/>
      <c r="BI54" s="78"/>
      <c r="BJ54" s="78"/>
      <c r="BK54" s="78"/>
      <c r="BL54" s="78"/>
      <c r="BM54" s="78"/>
      <c r="BN54" s="184">
        <f t="shared" si="4"/>
        <v>10000</v>
      </c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52"/>
      <c r="CD54" s="52">
        <f t="shared" si="2"/>
        <v>10000</v>
      </c>
      <c r="CE54" s="48"/>
      <c r="CF54" s="48"/>
      <c r="CG54" s="48"/>
      <c r="CH54" s="48"/>
    </row>
    <row r="55" spans="1:86" s="41" customFormat="1" ht="45" customHeight="1">
      <c r="A55" s="78">
        <f t="shared" si="1"/>
        <v>28</v>
      </c>
      <c r="B55" s="78"/>
      <c r="C55" s="78"/>
      <c r="D55" s="78"/>
      <c r="E55" s="182" t="s">
        <v>238</v>
      </c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3">
        <v>27500</v>
      </c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78">
        <v>1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184">
        <f t="shared" si="4"/>
        <v>27500</v>
      </c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52"/>
      <c r="CD55" s="52">
        <f t="shared" si="2"/>
        <v>27500</v>
      </c>
      <c r="CE55" s="48"/>
      <c r="CF55" s="48"/>
      <c r="CG55" s="48"/>
      <c r="CH55" s="48"/>
    </row>
    <row r="56" spans="1:86" s="41" customFormat="1" ht="45" customHeight="1">
      <c r="A56" s="78">
        <f t="shared" si="1"/>
        <v>29</v>
      </c>
      <c r="B56" s="78"/>
      <c r="C56" s="78"/>
      <c r="D56" s="78"/>
      <c r="E56" s="182" t="s">
        <v>239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3">
        <v>1500</v>
      </c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78">
        <v>1</v>
      </c>
      <c r="BE56" s="78"/>
      <c r="BF56" s="78"/>
      <c r="BG56" s="78"/>
      <c r="BH56" s="78"/>
      <c r="BI56" s="78"/>
      <c r="BJ56" s="78"/>
      <c r="BK56" s="78"/>
      <c r="BL56" s="78"/>
      <c r="BM56" s="78"/>
      <c r="BN56" s="184">
        <f t="shared" si="4"/>
        <v>1500</v>
      </c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52"/>
      <c r="CD56" s="52">
        <f t="shared" si="2"/>
        <v>1500</v>
      </c>
      <c r="CE56" s="48"/>
      <c r="CF56" s="48"/>
      <c r="CG56" s="48"/>
      <c r="CH56" s="48"/>
    </row>
    <row r="57" spans="1:86" s="41" customFormat="1" ht="45" customHeight="1">
      <c r="A57" s="78">
        <f t="shared" si="1"/>
        <v>30</v>
      </c>
      <c r="B57" s="78"/>
      <c r="C57" s="78"/>
      <c r="D57" s="78"/>
      <c r="E57" s="182" t="s">
        <v>240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3">
        <f>BN57/BD57</f>
        <v>5000</v>
      </c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78">
        <v>6</v>
      </c>
      <c r="BE57" s="78"/>
      <c r="BF57" s="78"/>
      <c r="BG57" s="78"/>
      <c r="BH57" s="78"/>
      <c r="BI57" s="78"/>
      <c r="BJ57" s="78"/>
      <c r="BK57" s="78"/>
      <c r="BL57" s="78"/>
      <c r="BM57" s="78"/>
      <c r="BN57" s="184">
        <v>30000</v>
      </c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52"/>
      <c r="CD57" s="52">
        <f t="shared" si="2"/>
        <v>30000</v>
      </c>
      <c r="CE57" s="48"/>
      <c r="CF57" s="48"/>
      <c r="CG57" s="48"/>
      <c r="CH57" s="48"/>
    </row>
    <row r="58" spans="1:86" s="41" customFormat="1" ht="45" customHeight="1">
      <c r="A58" s="78">
        <f t="shared" si="1"/>
        <v>31</v>
      </c>
      <c r="B58" s="78"/>
      <c r="C58" s="78"/>
      <c r="D58" s="78"/>
      <c r="E58" s="182" t="s">
        <v>241</v>
      </c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3">
        <f>BN58/BD58</f>
        <v>140000</v>
      </c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78">
        <v>1</v>
      </c>
      <c r="BE58" s="78"/>
      <c r="BF58" s="78"/>
      <c r="BG58" s="78"/>
      <c r="BH58" s="78"/>
      <c r="BI58" s="78"/>
      <c r="BJ58" s="78"/>
      <c r="BK58" s="78"/>
      <c r="BL58" s="78"/>
      <c r="BM58" s="78"/>
      <c r="BN58" s="184">
        <v>140000</v>
      </c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52"/>
      <c r="CD58" s="52">
        <f t="shared" si="2"/>
        <v>140000</v>
      </c>
      <c r="CE58" s="48"/>
      <c r="CF58" s="48"/>
      <c r="CG58" s="48"/>
      <c r="CH58" s="48"/>
    </row>
    <row r="59" spans="1:86" s="41" customFormat="1" ht="45" customHeight="1">
      <c r="A59" s="78">
        <f t="shared" si="1"/>
        <v>32</v>
      </c>
      <c r="B59" s="78"/>
      <c r="C59" s="78"/>
      <c r="D59" s="78"/>
      <c r="E59" s="182" t="s">
        <v>242</v>
      </c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3">
        <f>BN59</f>
        <v>22400</v>
      </c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78">
        <v>1</v>
      </c>
      <c r="BE59" s="78"/>
      <c r="BF59" s="78"/>
      <c r="BG59" s="78"/>
      <c r="BH59" s="78"/>
      <c r="BI59" s="78"/>
      <c r="BJ59" s="78"/>
      <c r="BK59" s="78"/>
      <c r="BL59" s="78"/>
      <c r="BM59" s="78"/>
      <c r="BN59" s="184">
        <v>22400</v>
      </c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52"/>
      <c r="CD59" s="52">
        <f>BN59</f>
        <v>22400</v>
      </c>
      <c r="CE59" s="48"/>
      <c r="CF59" s="48"/>
      <c r="CG59" s="48"/>
      <c r="CH59" s="48"/>
    </row>
    <row r="60" spans="1:86" s="41" customFormat="1" ht="45" customHeight="1">
      <c r="A60" s="78">
        <f t="shared" si="1"/>
        <v>33</v>
      </c>
      <c r="B60" s="78"/>
      <c r="C60" s="78"/>
      <c r="D60" s="78"/>
      <c r="E60" s="182" t="s">
        <v>243</v>
      </c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3">
        <f>BN60</f>
        <v>180000</v>
      </c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78">
        <v>1</v>
      </c>
      <c r="BE60" s="78"/>
      <c r="BF60" s="78"/>
      <c r="BG60" s="78"/>
      <c r="BH60" s="78"/>
      <c r="BI60" s="78"/>
      <c r="BJ60" s="78"/>
      <c r="BK60" s="78"/>
      <c r="BL60" s="78"/>
      <c r="BM60" s="78"/>
      <c r="BN60" s="184">
        <v>180000</v>
      </c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52"/>
      <c r="CD60" s="52">
        <f>BN60</f>
        <v>180000</v>
      </c>
      <c r="CE60" s="48"/>
      <c r="CF60" s="48"/>
      <c r="CG60" s="48"/>
      <c r="CH60" s="48"/>
    </row>
    <row r="61" spans="1:86" s="41" customFormat="1" ht="45" customHeight="1">
      <c r="A61" s="78">
        <f t="shared" si="1"/>
        <v>34</v>
      </c>
      <c r="B61" s="78"/>
      <c r="C61" s="78"/>
      <c r="D61" s="78"/>
      <c r="E61" s="182" t="s">
        <v>244</v>
      </c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3">
        <v>200000</v>
      </c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78">
        <v>1</v>
      </c>
      <c r="BE61" s="78"/>
      <c r="BF61" s="78"/>
      <c r="BG61" s="78"/>
      <c r="BH61" s="78"/>
      <c r="BI61" s="78"/>
      <c r="BJ61" s="78"/>
      <c r="BK61" s="78"/>
      <c r="BL61" s="78"/>
      <c r="BM61" s="78"/>
      <c r="BN61" s="184">
        <f>AO61*BD61</f>
        <v>200000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52"/>
      <c r="CD61" s="52">
        <f>BN61</f>
        <v>200000</v>
      </c>
      <c r="CE61" s="48"/>
      <c r="CF61" s="48"/>
      <c r="CG61" s="48"/>
      <c r="CH61" s="48"/>
    </row>
    <row r="62" spans="1:86" s="41" customFormat="1" ht="45" customHeight="1">
      <c r="A62" s="78">
        <f t="shared" si="1"/>
        <v>35</v>
      </c>
      <c r="B62" s="78"/>
      <c r="C62" s="78"/>
      <c r="D62" s="78"/>
      <c r="E62" s="182" t="s">
        <v>245</v>
      </c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3">
        <v>60000</v>
      </c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78">
        <v>1</v>
      </c>
      <c r="BE62" s="78"/>
      <c r="BF62" s="78"/>
      <c r="BG62" s="78"/>
      <c r="BH62" s="78"/>
      <c r="BI62" s="78"/>
      <c r="BJ62" s="78"/>
      <c r="BK62" s="78"/>
      <c r="BL62" s="78"/>
      <c r="BM62" s="78"/>
      <c r="BN62" s="184">
        <f>AO62*BD62</f>
        <v>60000</v>
      </c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52"/>
      <c r="CD62" s="52">
        <f>BN62</f>
        <v>60000</v>
      </c>
      <c r="CE62" s="48"/>
      <c r="CF62" s="48"/>
      <c r="CG62" s="48"/>
      <c r="CH62" s="48"/>
    </row>
    <row r="63" spans="1:86" s="41" customFormat="1" ht="45" customHeight="1">
      <c r="A63" s="78">
        <f t="shared" si="1"/>
        <v>36</v>
      </c>
      <c r="B63" s="78"/>
      <c r="C63" s="78"/>
      <c r="D63" s="78"/>
      <c r="E63" s="182" t="s">
        <v>246</v>
      </c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3">
        <v>3000</v>
      </c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78">
        <v>2</v>
      </c>
      <c r="BE63" s="78"/>
      <c r="BF63" s="78"/>
      <c r="BG63" s="78"/>
      <c r="BH63" s="78"/>
      <c r="BI63" s="78"/>
      <c r="BJ63" s="78"/>
      <c r="BK63" s="78"/>
      <c r="BL63" s="78"/>
      <c r="BM63" s="78"/>
      <c r="BN63" s="184">
        <f>AO63*BD63</f>
        <v>6000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52"/>
      <c r="CD63" s="52">
        <f>BN63</f>
        <v>6000</v>
      </c>
      <c r="CE63" s="48"/>
      <c r="CF63" s="48"/>
      <c r="CG63" s="48"/>
      <c r="CH63" s="48"/>
    </row>
    <row r="64" spans="1:86" ht="15" customHeight="1">
      <c r="A64" s="176" t="s">
        <v>70</v>
      </c>
      <c r="B64" s="177"/>
      <c r="C64" s="177"/>
      <c r="D64" s="177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9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78" t="s">
        <v>3</v>
      </c>
      <c r="BE64" s="78"/>
      <c r="BF64" s="78"/>
      <c r="BG64" s="78"/>
      <c r="BH64" s="78"/>
      <c r="BI64" s="78"/>
      <c r="BJ64" s="78"/>
      <c r="BK64" s="78"/>
      <c r="BL64" s="78"/>
      <c r="BM64" s="78"/>
      <c r="BN64" s="181">
        <f>SUM(BN28:CB63)</f>
        <v>1142646.79</v>
      </c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51"/>
      <c r="CD64" s="51">
        <f>SUM(CD28:CD63)</f>
        <v>1142646.79</v>
      </c>
      <c r="CE64" s="51"/>
      <c r="CF64" s="51"/>
      <c r="CG64" s="51"/>
      <c r="CH64" s="51"/>
    </row>
    <row r="65" s="41" customFormat="1" ht="15"/>
    <row r="66" spans="1:86" s="41" customFormat="1" ht="15" hidden="1">
      <c r="A66" s="38" t="s">
        <v>133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</row>
    <row r="67" spans="1:86" s="41" customFormat="1" ht="15" hidden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6"/>
      <c r="CD67" s="36"/>
      <c r="CE67" s="36"/>
      <c r="CF67" s="36"/>
      <c r="CG67" s="36"/>
      <c r="CH67" s="36"/>
    </row>
    <row r="68" spans="1:86" s="41" customFormat="1" ht="15" hidden="1">
      <c r="A68" s="76" t="s">
        <v>39</v>
      </c>
      <c r="B68" s="76"/>
      <c r="C68" s="76"/>
      <c r="D68" s="76"/>
      <c r="E68" s="204" t="s">
        <v>4</v>
      </c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195" t="s">
        <v>63</v>
      </c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7"/>
      <c r="BD68" s="195" t="s">
        <v>62</v>
      </c>
      <c r="BE68" s="196"/>
      <c r="BF68" s="196"/>
      <c r="BG68" s="196"/>
      <c r="BH68" s="196"/>
      <c r="BI68" s="196"/>
      <c r="BJ68" s="196"/>
      <c r="BK68" s="196"/>
      <c r="BL68" s="196"/>
      <c r="BM68" s="197"/>
      <c r="BN68" s="195" t="s">
        <v>64</v>
      </c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7"/>
      <c r="CC68" s="78" t="s">
        <v>66</v>
      </c>
      <c r="CD68" s="78"/>
      <c r="CE68" s="78"/>
      <c r="CF68" s="78"/>
      <c r="CG68" s="78"/>
      <c r="CH68" s="78"/>
    </row>
    <row r="69" spans="1:86" s="41" customFormat="1" ht="80.25" customHeight="1" hidden="1">
      <c r="A69" s="76"/>
      <c r="B69" s="76"/>
      <c r="C69" s="76"/>
      <c r="D69" s="76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198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200"/>
      <c r="BD69" s="198"/>
      <c r="BE69" s="199"/>
      <c r="BF69" s="199"/>
      <c r="BG69" s="199"/>
      <c r="BH69" s="199"/>
      <c r="BI69" s="199"/>
      <c r="BJ69" s="199"/>
      <c r="BK69" s="199"/>
      <c r="BL69" s="199"/>
      <c r="BM69" s="200"/>
      <c r="BN69" s="198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200"/>
      <c r="CC69" s="76" t="s">
        <v>36</v>
      </c>
      <c r="CD69" s="76"/>
      <c r="CE69" s="69" t="s">
        <v>46</v>
      </c>
      <c r="CF69" s="79"/>
      <c r="CG69" s="70"/>
      <c r="CH69" s="63" t="s">
        <v>47</v>
      </c>
    </row>
    <row r="70" spans="1:86" s="41" customFormat="1" ht="15" hidden="1">
      <c r="A70" s="76"/>
      <c r="B70" s="76"/>
      <c r="C70" s="76"/>
      <c r="D70" s="76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198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98"/>
      <c r="BE70" s="199"/>
      <c r="BF70" s="199"/>
      <c r="BG70" s="199"/>
      <c r="BH70" s="199"/>
      <c r="BI70" s="199"/>
      <c r="BJ70" s="199"/>
      <c r="BK70" s="199"/>
      <c r="BL70" s="199"/>
      <c r="BM70" s="200"/>
      <c r="BN70" s="198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200"/>
      <c r="CC70" s="75" t="s">
        <v>44</v>
      </c>
      <c r="CD70" s="75" t="s">
        <v>45</v>
      </c>
      <c r="CE70" s="209" t="s">
        <v>83</v>
      </c>
      <c r="CF70" s="75" t="s">
        <v>44</v>
      </c>
      <c r="CG70" s="75" t="s">
        <v>45</v>
      </c>
      <c r="CH70" s="64"/>
    </row>
    <row r="71" spans="1:86" s="41" customFormat="1" ht="15" hidden="1">
      <c r="A71" s="76"/>
      <c r="B71" s="76"/>
      <c r="C71" s="76"/>
      <c r="D71" s="76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1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201"/>
      <c r="BE71" s="202"/>
      <c r="BF71" s="202"/>
      <c r="BG71" s="202"/>
      <c r="BH71" s="202"/>
      <c r="BI71" s="202"/>
      <c r="BJ71" s="202"/>
      <c r="BK71" s="202"/>
      <c r="BL71" s="202"/>
      <c r="BM71" s="203"/>
      <c r="BN71" s="201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3"/>
      <c r="CC71" s="75"/>
      <c r="CD71" s="75"/>
      <c r="CE71" s="210"/>
      <c r="CF71" s="75"/>
      <c r="CG71" s="75"/>
      <c r="CH71" s="65"/>
    </row>
    <row r="72" spans="1:86" s="41" customFormat="1" ht="15" hidden="1">
      <c r="A72" s="204">
        <v>1</v>
      </c>
      <c r="B72" s="204"/>
      <c r="C72" s="204"/>
      <c r="D72" s="204"/>
      <c r="E72" s="204">
        <v>2</v>
      </c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>
        <v>3</v>
      </c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>
        <v>4</v>
      </c>
      <c r="BE72" s="204"/>
      <c r="BF72" s="204"/>
      <c r="BG72" s="204"/>
      <c r="BH72" s="204"/>
      <c r="BI72" s="204"/>
      <c r="BJ72" s="204"/>
      <c r="BK72" s="204"/>
      <c r="BL72" s="204"/>
      <c r="BM72" s="204"/>
      <c r="BN72" s="204" t="s">
        <v>58</v>
      </c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43">
        <v>6</v>
      </c>
      <c r="CD72" s="43">
        <v>7</v>
      </c>
      <c r="CE72" s="43">
        <v>8</v>
      </c>
      <c r="CF72" s="43">
        <v>9</v>
      </c>
      <c r="CG72" s="43">
        <v>10</v>
      </c>
      <c r="CH72" s="43">
        <v>11</v>
      </c>
    </row>
    <row r="73" spans="1:86" s="41" customFormat="1" ht="15" hidden="1">
      <c r="A73" s="208"/>
      <c r="B73" s="208"/>
      <c r="C73" s="208"/>
      <c r="D73" s="20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48"/>
      <c r="CD73" s="48"/>
      <c r="CE73" s="48"/>
      <c r="CF73" s="48"/>
      <c r="CG73" s="48"/>
      <c r="CH73" s="48"/>
    </row>
    <row r="74" spans="1:86" s="41" customFormat="1" ht="15" hidden="1">
      <c r="A74" s="208"/>
      <c r="B74" s="208"/>
      <c r="C74" s="208"/>
      <c r="D74" s="20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48"/>
      <c r="CD74" s="48"/>
      <c r="CE74" s="48"/>
      <c r="CF74" s="48"/>
      <c r="CG74" s="48"/>
      <c r="CH74" s="48"/>
    </row>
    <row r="75" spans="1:86" s="41" customFormat="1" ht="15" hidden="1">
      <c r="A75" s="72" t="s">
        <v>99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4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 t="s">
        <v>3</v>
      </c>
      <c r="BE75" s="78"/>
      <c r="BF75" s="78"/>
      <c r="BG75" s="78"/>
      <c r="BH75" s="78"/>
      <c r="BI75" s="78"/>
      <c r="BJ75" s="78"/>
      <c r="BK75" s="78"/>
      <c r="BL75" s="78"/>
      <c r="BM75" s="78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48"/>
      <c r="CD75" s="48"/>
      <c r="CE75" s="48"/>
      <c r="CF75" s="48"/>
      <c r="CG75" s="48"/>
      <c r="CH75" s="48"/>
    </row>
    <row r="76" s="41" customFormat="1" ht="15"/>
    <row r="78" spans="1:86" ht="15">
      <c r="A78" s="38" t="s">
        <v>134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</row>
    <row r="79" spans="1:86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6"/>
      <c r="CD79" s="36"/>
      <c r="CE79" s="36"/>
      <c r="CF79" s="36"/>
      <c r="CG79" s="36"/>
      <c r="CH79" s="36"/>
    </row>
    <row r="80" spans="1:86" ht="12.75">
      <c r="A80" s="76" t="s">
        <v>39</v>
      </c>
      <c r="B80" s="76"/>
      <c r="C80" s="76"/>
      <c r="D80" s="76"/>
      <c r="E80" s="204" t="s">
        <v>4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 t="s">
        <v>5</v>
      </c>
      <c r="AT80" s="204"/>
      <c r="AU80" s="204"/>
      <c r="AV80" s="204"/>
      <c r="AW80" s="204"/>
      <c r="AX80" s="204"/>
      <c r="AY80" s="204"/>
      <c r="AZ80" s="204"/>
      <c r="BA80" s="204"/>
      <c r="BB80" s="204"/>
      <c r="BC80" s="76" t="s">
        <v>65</v>
      </c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204" t="s">
        <v>6</v>
      </c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78" t="s">
        <v>66</v>
      </c>
      <c r="CD80" s="78"/>
      <c r="CE80" s="78"/>
      <c r="CF80" s="78"/>
      <c r="CG80" s="78"/>
      <c r="CH80" s="78"/>
    </row>
    <row r="81" spans="1:86" ht="79.5" customHeight="1">
      <c r="A81" s="76"/>
      <c r="B81" s="76"/>
      <c r="C81" s="76"/>
      <c r="D81" s="76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76" t="s">
        <v>36</v>
      </c>
      <c r="CD81" s="76"/>
      <c r="CE81" s="69" t="s">
        <v>46</v>
      </c>
      <c r="CF81" s="79"/>
      <c r="CG81" s="70"/>
      <c r="CH81" s="63" t="s">
        <v>47</v>
      </c>
    </row>
    <row r="82" spans="1:86" ht="12.75" customHeight="1">
      <c r="A82" s="76"/>
      <c r="B82" s="76"/>
      <c r="C82" s="76"/>
      <c r="D82" s="76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75" t="s">
        <v>44</v>
      </c>
      <c r="CD82" s="75" t="s">
        <v>45</v>
      </c>
      <c r="CE82" s="209" t="s">
        <v>83</v>
      </c>
      <c r="CF82" s="75" t="s">
        <v>44</v>
      </c>
      <c r="CG82" s="75" t="s">
        <v>45</v>
      </c>
      <c r="CH82" s="64"/>
    </row>
    <row r="83" spans="1:86" ht="12.75">
      <c r="A83" s="76"/>
      <c r="B83" s="76"/>
      <c r="C83" s="76"/>
      <c r="D83" s="76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75"/>
      <c r="CD83" s="75"/>
      <c r="CE83" s="210"/>
      <c r="CF83" s="75"/>
      <c r="CG83" s="75"/>
      <c r="CH83" s="65"/>
    </row>
    <row r="84" spans="1:86" ht="12.75">
      <c r="A84" s="204">
        <v>1</v>
      </c>
      <c r="B84" s="204"/>
      <c r="C84" s="204"/>
      <c r="D84" s="204"/>
      <c r="E84" s="204">
        <v>2</v>
      </c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>
        <v>3</v>
      </c>
      <c r="AT84" s="204"/>
      <c r="AU84" s="204"/>
      <c r="AV84" s="204"/>
      <c r="AW84" s="204"/>
      <c r="AX84" s="204"/>
      <c r="AY84" s="204"/>
      <c r="AZ84" s="204"/>
      <c r="BA84" s="204"/>
      <c r="BB84" s="204"/>
      <c r="BC84" s="204">
        <v>4</v>
      </c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 t="s">
        <v>58</v>
      </c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43">
        <v>6</v>
      </c>
      <c r="CD84" s="43">
        <v>7</v>
      </c>
      <c r="CE84" s="43">
        <v>8</v>
      </c>
      <c r="CF84" s="43">
        <v>9</v>
      </c>
      <c r="CG84" s="43">
        <v>10</v>
      </c>
      <c r="CH84" s="43">
        <v>11</v>
      </c>
    </row>
    <row r="85" spans="1:86" ht="12.75">
      <c r="A85" s="78">
        <v>1</v>
      </c>
      <c r="B85" s="78"/>
      <c r="C85" s="78"/>
      <c r="D85" s="78"/>
      <c r="E85" s="208" t="s">
        <v>187</v>
      </c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78">
        <v>1</v>
      </c>
      <c r="AT85" s="78"/>
      <c r="AU85" s="78"/>
      <c r="AV85" s="78"/>
      <c r="AW85" s="78"/>
      <c r="AX85" s="78"/>
      <c r="AY85" s="78"/>
      <c r="AZ85" s="78"/>
      <c r="BA85" s="78"/>
      <c r="BB85" s="78"/>
      <c r="BC85" s="183">
        <v>299.87</v>
      </c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>
        <f>BC85</f>
        <v>299.87</v>
      </c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43"/>
      <c r="CD85" s="52">
        <f>BN85</f>
        <v>299.87</v>
      </c>
      <c r="CE85" s="43"/>
      <c r="CF85" s="43"/>
      <c r="CG85" s="43"/>
      <c r="CH85" s="43"/>
    </row>
    <row r="86" spans="1:86" ht="12.75">
      <c r="A86" s="205" t="s">
        <v>72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7"/>
      <c r="AS86" s="78" t="s">
        <v>3</v>
      </c>
      <c r="AT86" s="78"/>
      <c r="AU86" s="78"/>
      <c r="AV86" s="78"/>
      <c r="AW86" s="78"/>
      <c r="AX86" s="78"/>
      <c r="AY86" s="78"/>
      <c r="AZ86" s="78"/>
      <c r="BA86" s="78"/>
      <c r="BB86" s="78"/>
      <c r="BC86" s="78" t="s">
        <v>3</v>
      </c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219">
        <f>SUM(BN85)</f>
        <v>299.87</v>
      </c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3"/>
      <c r="CD86" s="60">
        <f>BN86</f>
        <v>299.87</v>
      </c>
      <c r="CE86" s="43"/>
      <c r="CF86" s="43"/>
      <c r="CG86" s="43"/>
      <c r="CH86" s="43"/>
    </row>
    <row r="87" spans="1:86" ht="39" customHeight="1">
      <c r="A87" s="78">
        <v>1</v>
      </c>
      <c r="B87" s="78"/>
      <c r="C87" s="78"/>
      <c r="D87" s="78"/>
      <c r="E87" s="182" t="s">
        <v>247</v>
      </c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91">
        <v>156</v>
      </c>
      <c r="AT87" s="191"/>
      <c r="AU87" s="191"/>
      <c r="AV87" s="191"/>
      <c r="AW87" s="191"/>
      <c r="AX87" s="191"/>
      <c r="AY87" s="191"/>
      <c r="AZ87" s="191"/>
      <c r="BA87" s="191"/>
      <c r="BB87" s="191"/>
      <c r="BC87" s="193">
        <f>BN87/AS87</f>
        <v>102.56410256410257</v>
      </c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183">
        <v>16000</v>
      </c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43"/>
      <c r="CD87" s="52">
        <f>BN87</f>
        <v>16000</v>
      </c>
      <c r="CE87" s="48"/>
      <c r="CF87" s="48"/>
      <c r="CG87" s="48"/>
      <c r="CH87" s="48"/>
    </row>
    <row r="88" spans="1:86" ht="57" customHeight="1">
      <c r="A88" s="78">
        <f>A87+1</f>
        <v>2</v>
      </c>
      <c r="B88" s="78"/>
      <c r="C88" s="78"/>
      <c r="D88" s="78"/>
      <c r="E88" s="182" t="s">
        <v>248</v>
      </c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91">
        <v>40</v>
      </c>
      <c r="AT88" s="191"/>
      <c r="AU88" s="191"/>
      <c r="AV88" s="191"/>
      <c r="AW88" s="191"/>
      <c r="AX88" s="191"/>
      <c r="AY88" s="191"/>
      <c r="AZ88" s="191"/>
      <c r="BA88" s="191"/>
      <c r="BB88" s="191"/>
      <c r="BC88" s="193">
        <f>BN88/AS88</f>
        <v>375</v>
      </c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183">
        <v>15000</v>
      </c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43"/>
      <c r="CD88" s="52">
        <f>BN88</f>
        <v>15000</v>
      </c>
      <c r="CE88" s="48"/>
      <c r="CF88" s="48"/>
      <c r="CG88" s="48"/>
      <c r="CH88" s="48"/>
    </row>
    <row r="89" spans="1:86" ht="24" customHeight="1">
      <c r="A89" s="78">
        <f>A88+1</f>
        <v>3</v>
      </c>
      <c r="B89" s="78"/>
      <c r="C89" s="78"/>
      <c r="D89" s="78"/>
      <c r="E89" s="187" t="s">
        <v>249</v>
      </c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92"/>
      <c r="AS89" s="180">
        <v>4</v>
      </c>
      <c r="AT89" s="180"/>
      <c r="AU89" s="180"/>
      <c r="AV89" s="180"/>
      <c r="AW89" s="180"/>
      <c r="AX89" s="180"/>
      <c r="AY89" s="180"/>
      <c r="AZ89" s="180"/>
      <c r="BA89" s="180"/>
      <c r="BB89" s="180"/>
      <c r="BC89" s="194">
        <f>BN89/AS89</f>
        <v>18173.35</v>
      </c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83">
        <v>72693.4</v>
      </c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43"/>
      <c r="CD89" s="52">
        <f>BN89</f>
        <v>72693.4</v>
      </c>
      <c r="CE89" s="48"/>
      <c r="CF89" s="48"/>
      <c r="CG89" s="48"/>
      <c r="CH89" s="48"/>
    </row>
    <row r="90" spans="1:86" ht="12.75">
      <c r="A90" s="205" t="s">
        <v>73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7"/>
      <c r="AS90" s="211" t="s">
        <v>3</v>
      </c>
      <c r="AT90" s="211"/>
      <c r="AU90" s="211"/>
      <c r="AV90" s="211"/>
      <c r="AW90" s="211"/>
      <c r="AX90" s="211"/>
      <c r="AY90" s="211"/>
      <c r="AZ90" s="211"/>
      <c r="BA90" s="211"/>
      <c r="BB90" s="211"/>
      <c r="BC90" s="211" t="s">
        <v>3</v>
      </c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181">
        <f>SUM(BN87:CB89)</f>
        <v>103693.4</v>
      </c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51"/>
      <c r="CD90" s="51">
        <f>SUM(CD87:CD89)</f>
        <v>103693.4</v>
      </c>
      <c r="CE90" s="51"/>
      <c r="CF90" s="51"/>
      <c r="CG90" s="51"/>
      <c r="CH90" s="51"/>
    </row>
    <row r="91" spans="1:86" ht="12.75" hidden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218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48"/>
      <c r="CD91" s="48"/>
      <c r="CE91" s="48"/>
      <c r="CF91" s="48"/>
      <c r="CG91" s="48"/>
      <c r="CH91" s="48"/>
    </row>
    <row r="92" spans="1:86" ht="12.75" hidden="1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48"/>
      <c r="CD92" s="48"/>
      <c r="CE92" s="48"/>
      <c r="CF92" s="48"/>
      <c r="CG92" s="48"/>
      <c r="CH92" s="48"/>
    </row>
    <row r="93" spans="1:86" ht="12.75" hidden="1">
      <c r="A93" s="72" t="s">
        <v>74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4"/>
      <c r="AS93" s="78" t="s">
        <v>3</v>
      </c>
      <c r="AT93" s="78"/>
      <c r="AU93" s="78"/>
      <c r="AV93" s="78"/>
      <c r="AW93" s="78"/>
      <c r="AX93" s="78"/>
      <c r="AY93" s="78"/>
      <c r="AZ93" s="78"/>
      <c r="BA93" s="78"/>
      <c r="BB93" s="78"/>
      <c r="BC93" s="78" t="s">
        <v>3</v>
      </c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48"/>
      <c r="CD93" s="48"/>
      <c r="CE93" s="48"/>
      <c r="CF93" s="48"/>
      <c r="CG93" s="48"/>
      <c r="CH93" s="48"/>
    </row>
    <row r="94" spans="1:86" ht="12.75" hidden="1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218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48"/>
      <c r="CD94" s="48"/>
      <c r="CE94" s="48"/>
      <c r="CF94" s="48"/>
      <c r="CG94" s="48"/>
      <c r="CH94" s="48"/>
    </row>
    <row r="95" spans="1:86" ht="12.75" hidden="1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48"/>
      <c r="CD95" s="48"/>
      <c r="CE95" s="48"/>
      <c r="CF95" s="48"/>
      <c r="CG95" s="48"/>
      <c r="CH95" s="48"/>
    </row>
    <row r="96" spans="1:86" ht="12.75" hidden="1">
      <c r="A96" s="72" t="s">
        <v>75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4"/>
      <c r="AS96" s="78" t="s">
        <v>3</v>
      </c>
      <c r="AT96" s="78"/>
      <c r="AU96" s="78"/>
      <c r="AV96" s="78"/>
      <c r="AW96" s="78"/>
      <c r="AX96" s="78"/>
      <c r="AY96" s="78"/>
      <c r="AZ96" s="78"/>
      <c r="BA96" s="78"/>
      <c r="BB96" s="78"/>
      <c r="BC96" s="78" t="s">
        <v>3</v>
      </c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48"/>
      <c r="CD96" s="48"/>
      <c r="CE96" s="48"/>
      <c r="CF96" s="48"/>
      <c r="CG96" s="48"/>
      <c r="CH96" s="48"/>
    </row>
    <row r="97" spans="1:86" ht="57" customHeight="1">
      <c r="A97" s="66">
        <v>1</v>
      </c>
      <c r="B97" s="67"/>
      <c r="C97" s="67"/>
      <c r="D97" s="68"/>
      <c r="E97" s="187" t="s">
        <v>188</v>
      </c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92"/>
      <c r="AS97" s="66">
        <v>5</v>
      </c>
      <c r="AT97" s="67"/>
      <c r="AU97" s="67"/>
      <c r="AV97" s="67"/>
      <c r="AW97" s="67"/>
      <c r="AX97" s="67"/>
      <c r="AY97" s="67"/>
      <c r="AZ97" s="67"/>
      <c r="BA97" s="67"/>
      <c r="BB97" s="68"/>
      <c r="BC97" s="184">
        <f>BN97/AS97</f>
        <v>1794.0880000000002</v>
      </c>
      <c r="BD97" s="185"/>
      <c r="BE97" s="185"/>
      <c r="BF97" s="185"/>
      <c r="BG97" s="185"/>
      <c r="BH97" s="185"/>
      <c r="BI97" s="185"/>
      <c r="BJ97" s="185"/>
      <c r="BK97" s="185"/>
      <c r="BL97" s="185"/>
      <c r="BM97" s="186"/>
      <c r="BN97" s="184">
        <v>8970.44</v>
      </c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6"/>
      <c r="CC97" s="43"/>
      <c r="CD97" s="52">
        <f aca="true" t="shared" si="5" ref="CD97:CD102">BN97</f>
        <v>8970.44</v>
      </c>
      <c r="CE97" s="48"/>
      <c r="CF97" s="48"/>
      <c r="CG97" s="48"/>
      <c r="CH97" s="48"/>
    </row>
    <row r="98" spans="1:86" ht="24" customHeight="1">
      <c r="A98" s="205" t="s">
        <v>76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7"/>
      <c r="AS98" s="212" t="s">
        <v>3</v>
      </c>
      <c r="AT98" s="213"/>
      <c r="AU98" s="213"/>
      <c r="AV98" s="213"/>
      <c r="AW98" s="213"/>
      <c r="AX98" s="213"/>
      <c r="AY98" s="213"/>
      <c r="AZ98" s="213"/>
      <c r="BA98" s="213"/>
      <c r="BB98" s="214"/>
      <c r="BC98" s="212" t="s">
        <v>3</v>
      </c>
      <c r="BD98" s="213"/>
      <c r="BE98" s="213"/>
      <c r="BF98" s="213"/>
      <c r="BG98" s="213"/>
      <c r="BH98" s="213"/>
      <c r="BI98" s="213"/>
      <c r="BJ98" s="213"/>
      <c r="BK98" s="213"/>
      <c r="BL98" s="213"/>
      <c r="BM98" s="214"/>
      <c r="BN98" s="215">
        <f>SUM(BN97:CB97)</f>
        <v>8970.44</v>
      </c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7"/>
      <c r="CC98" s="47"/>
      <c r="CD98" s="51">
        <f t="shared" si="5"/>
        <v>8970.44</v>
      </c>
      <c r="CE98" s="48"/>
      <c r="CF98" s="48"/>
      <c r="CG98" s="48"/>
      <c r="CH98" s="48"/>
    </row>
    <row r="99" spans="1:86" ht="24" customHeight="1">
      <c r="A99" s="78">
        <v>1</v>
      </c>
      <c r="B99" s="78"/>
      <c r="C99" s="78"/>
      <c r="D99" s="78"/>
      <c r="E99" s="208" t="s">
        <v>189</v>
      </c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78">
        <v>229</v>
      </c>
      <c r="AT99" s="78"/>
      <c r="AU99" s="78"/>
      <c r="AV99" s="78"/>
      <c r="AW99" s="78"/>
      <c r="AX99" s="78"/>
      <c r="AY99" s="78"/>
      <c r="AZ99" s="78"/>
      <c r="BA99" s="78"/>
      <c r="BB99" s="78"/>
      <c r="BC99" s="183">
        <f>CD99/AS99</f>
        <v>210.094192139738</v>
      </c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>
        <v>48111.57</v>
      </c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43"/>
      <c r="CD99" s="52">
        <f t="shared" si="5"/>
        <v>48111.57</v>
      </c>
      <c r="CE99" s="48"/>
      <c r="CF99" s="48"/>
      <c r="CG99" s="48"/>
      <c r="CH99" s="43"/>
    </row>
    <row r="100" spans="1:86" ht="41.25" customHeight="1">
      <c r="A100" s="78">
        <f aca="true" t="shared" si="6" ref="A100:A118">A99+1</f>
        <v>2</v>
      </c>
      <c r="B100" s="78"/>
      <c r="C100" s="78"/>
      <c r="D100" s="78"/>
      <c r="E100" s="182" t="s">
        <v>250</v>
      </c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78">
        <v>1440</v>
      </c>
      <c r="AT100" s="78"/>
      <c r="AU100" s="78"/>
      <c r="AV100" s="78"/>
      <c r="AW100" s="78"/>
      <c r="AX100" s="78"/>
      <c r="AY100" s="78"/>
      <c r="AZ100" s="78"/>
      <c r="BA100" s="78"/>
      <c r="BB100" s="78"/>
      <c r="BC100" s="184">
        <f>BN100/AS100</f>
        <v>1.7361111111111112</v>
      </c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6"/>
      <c r="BN100" s="183">
        <v>2500</v>
      </c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43"/>
      <c r="CD100" s="52">
        <f t="shared" si="5"/>
        <v>2500</v>
      </c>
      <c r="CE100" s="48"/>
      <c r="CF100" s="48"/>
      <c r="CG100" s="48"/>
      <c r="CH100" s="48"/>
    </row>
    <row r="101" spans="1:86" ht="24.75" customHeight="1">
      <c r="A101" s="78">
        <f t="shared" si="6"/>
        <v>3</v>
      </c>
      <c r="B101" s="78"/>
      <c r="C101" s="78"/>
      <c r="D101" s="78"/>
      <c r="E101" s="187" t="s">
        <v>251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92"/>
      <c r="AS101" s="78">
        <v>2</v>
      </c>
      <c r="AT101" s="78"/>
      <c r="AU101" s="78"/>
      <c r="AV101" s="78"/>
      <c r="AW101" s="78"/>
      <c r="AX101" s="78"/>
      <c r="AY101" s="78"/>
      <c r="AZ101" s="78"/>
      <c r="BA101" s="78"/>
      <c r="BB101" s="78"/>
      <c r="BC101" s="184">
        <f>BN101/AS101</f>
        <v>3399.5</v>
      </c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6"/>
      <c r="BN101" s="183">
        <v>6799</v>
      </c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43"/>
      <c r="CD101" s="52">
        <f t="shared" si="5"/>
        <v>6799</v>
      </c>
      <c r="CE101" s="48"/>
      <c r="CF101" s="48"/>
      <c r="CG101" s="48"/>
      <c r="CH101" s="48"/>
    </row>
    <row r="102" spans="1:86" ht="38.25" customHeight="1">
      <c r="A102" s="78">
        <f t="shared" si="6"/>
        <v>4</v>
      </c>
      <c r="B102" s="78"/>
      <c r="C102" s="78"/>
      <c r="D102" s="78"/>
      <c r="E102" s="182" t="s">
        <v>252</v>
      </c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78">
        <v>500</v>
      </c>
      <c r="AT102" s="78"/>
      <c r="AU102" s="78"/>
      <c r="AV102" s="78"/>
      <c r="AW102" s="78"/>
      <c r="AX102" s="78"/>
      <c r="AY102" s="78"/>
      <c r="AZ102" s="78"/>
      <c r="BA102" s="78"/>
      <c r="BB102" s="78"/>
      <c r="BC102" s="184">
        <v>3</v>
      </c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6"/>
      <c r="BN102" s="183">
        <f>BC102*AS102</f>
        <v>1500</v>
      </c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43"/>
      <c r="CD102" s="52">
        <f t="shared" si="5"/>
        <v>1500</v>
      </c>
      <c r="CE102" s="48"/>
      <c r="CF102" s="48"/>
      <c r="CG102" s="48"/>
      <c r="CH102" s="48"/>
    </row>
    <row r="103" spans="1:86" ht="53.25" customHeight="1">
      <c r="A103" s="78">
        <f t="shared" si="6"/>
        <v>5</v>
      </c>
      <c r="B103" s="78"/>
      <c r="C103" s="78"/>
      <c r="D103" s="78"/>
      <c r="E103" s="182" t="s">
        <v>253</v>
      </c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78">
        <v>1</v>
      </c>
      <c r="AT103" s="78"/>
      <c r="AU103" s="78"/>
      <c r="AV103" s="78"/>
      <c r="AW103" s="78"/>
      <c r="AX103" s="78"/>
      <c r="AY103" s="78"/>
      <c r="AZ103" s="78"/>
      <c r="BA103" s="78"/>
      <c r="BB103" s="78"/>
      <c r="BC103" s="184">
        <v>650</v>
      </c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6"/>
      <c r="BN103" s="183">
        <v>650</v>
      </c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43"/>
      <c r="CD103" s="52">
        <v>650</v>
      </c>
      <c r="CE103" s="48"/>
      <c r="CF103" s="48"/>
      <c r="CG103" s="48"/>
      <c r="CH103" s="48"/>
    </row>
    <row r="104" spans="1:86" ht="39" customHeight="1">
      <c r="A104" s="78">
        <f t="shared" si="6"/>
        <v>6</v>
      </c>
      <c r="B104" s="78"/>
      <c r="C104" s="78"/>
      <c r="D104" s="78"/>
      <c r="E104" s="187" t="s">
        <v>254</v>
      </c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92"/>
      <c r="AS104" s="78">
        <v>1</v>
      </c>
      <c r="AT104" s="78"/>
      <c r="AU104" s="78"/>
      <c r="AV104" s="78"/>
      <c r="AW104" s="78"/>
      <c r="AX104" s="78"/>
      <c r="AY104" s="78"/>
      <c r="AZ104" s="78"/>
      <c r="BA104" s="78"/>
      <c r="BB104" s="78"/>
      <c r="BC104" s="184">
        <v>650</v>
      </c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6"/>
      <c r="BN104" s="183">
        <v>650</v>
      </c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43"/>
      <c r="CD104" s="52">
        <v>650</v>
      </c>
      <c r="CE104" s="48"/>
      <c r="CF104" s="48"/>
      <c r="CG104" s="48"/>
      <c r="CH104" s="48"/>
    </row>
    <row r="105" spans="1:86" ht="24.75" customHeight="1">
      <c r="A105" s="78">
        <f t="shared" si="6"/>
        <v>7</v>
      </c>
      <c r="B105" s="78"/>
      <c r="C105" s="78"/>
      <c r="D105" s="78"/>
      <c r="E105" s="187" t="s">
        <v>255</v>
      </c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92"/>
      <c r="AS105" s="78">
        <v>80</v>
      </c>
      <c r="AT105" s="78"/>
      <c r="AU105" s="78"/>
      <c r="AV105" s="78"/>
      <c r="AW105" s="78"/>
      <c r="AX105" s="78"/>
      <c r="AY105" s="78"/>
      <c r="AZ105" s="78"/>
      <c r="BA105" s="78"/>
      <c r="BB105" s="78"/>
      <c r="BC105" s="184">
        <f>BN105/AS105</f>
        <v>45.25</v>
      </c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6"/>
      <c r="BN105" s="183">
        <v>3620</v>
      </c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43"/>
      <c r="CD105" s="52">
        <v>3620</v>
      </c>
      <c r="CE105" s="48"/>
      <c r="CF105" s="48"/>
      <c r="CG105" s="48"/>
      <c r="CH105" s="48"/>
    </row>
    <row r="106" spans="1:86" ht="24.75" customHeight="1">
      <c r="A106" s="78">
        <f t="shared" si="6"/>
        <v>8</v>
      </c>
      <c r="B106" s="78"/>
      <c r="C106" s="78"/>
      <c r="D106" s="78"/>
      <c r="E106" s="187" t="s">
        <v>256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92"/>
      <c r="AS106" s="78">
        <v>100</v>
      </c>
      <c r="AT106" s="78"/>
      <c r="AU106" s="78"/>
      <c r="AV106" s="78"/>
      <c r="AW106" s="78"/>
      <c r="AX106" s="78"/>
      <c r="AY106" s="78"/>
      <c r="AZ106" s="78"/>
      <c r="BA106" s="78"/>
      <c r="BB106" s="78"/>
      <c r="BC106" s="184">
        <v>60</v>
      </c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6"/>
      <c r="BN106" s="183">
        <v>6000</v>
      </c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43"/>
      <c r="CD106" s="52">
        <v>6000</v>
      </c>
      <c r="CE106" s="48"/>
      <c r="CF106" s="48"/>
      <c r="CG106" s="48"/>
      <c r="CH106" s="48"/>
    </row>
    <row r="107" spans="1:86" ht="53.25" customHeight="1">
      <c r="A107" s="78">
        <f t="shared" si="6"/>
        <v>9</v>
      </c>
      <c r="B107" s="78"/>
      <c r="C107" s="78"/>
      <c r="D107" s="78"/>
      <c r="E107" s="187" t="s">
        <v>257</v>
      </c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92"/>
      <c r="AS107" s="78">
        <v>10</v>
      </c>
      <c r="AT107" s="78"/>
      <c r="AU107" s="78"/>
      <c r="AV107" s="78"/>
      <c r="AW107" s="78"/>
      <c r="AX107" s="78"/>
      <c r="AY107" s="78"/>
      <c r="AZ107" s="78"/>
      <c r="BA107" s="78"/>
      <c r="BB107" s="78"/>
      <c r="BC107" s="184">
        <v>300</v>
      </c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6"/>
      <c r="BN107" s="183">
        <f>AS107*BC107</f>
        <v>3000</v>
      </c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43"/>
      <c r="CD107" s="52">
        <f>BN107</f>
        <v>3000</v>
      </c>
      <c r="CE107" s="48"/>
      <c r="CF107" s="48"/>
      <c r="CG107" s="48"/>
      <c r="CH107" s="48"/>
    </row>
    <row r="108" spans="1:86" ht="54" customHeight="1">
      <c r="A108" s="78">
        <f t="shared" si="6"/>
        <v>10</v>
      </c>
      <c r="B108" s="78"/>
      <c r="C108" s="78"/>
      <c r="D108" s="78"/>
      <c r="E108" s="187" t="s">
        <v>258</v>
      </c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92"/>
      <c r="AS108" s="78">
        <v>31</v>
      </c>
      <c r="AT108" s="78"/>
      <c r="AU108" s="78"/>
      <c r="AV108" s="78"/>
      <c r="AW108" s="78"/>
      <c r="AX108" s="78"/>
      <c r="AY108" s="78"/>
      <c r="AZ108" s="78"/>
      <c r="BA108" s="78"/>
      <c r="BB108" s="78"/>
      <c r="BC108" s="184">
        <f>BN108/AS108</f>
        <v>59.67741935483871</v>
      </c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6"/>
      <c r="BN108" s="183">
        <v>1850</v>
      </c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43"/>
      <c r="CD108" s="52">
        <f>BN108</f>
        <v>1850</v>
      </c>
      <c r="CE108" s="48"/>
      <c r="CF108" s="48"/>
      <c r="CG108" s="48"/>
      <c r="CH108" s="48"/>
    </row>
    <row r="109" spans="1:86" ht="24.75" customHeight="1">
      <c r="A109" s="78">
        <f t="shared" si="6"/>
        <v>11</v>
      </c>
      <c r="B109" s="78"/>
      <c r="C109" s="78"/>
      <c r="D109" s="78"/>
      <c r="E109" s="187" t="s">
        <v>259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92"/>
      <c r="AS109" s="78">
        <v>5</v>
      </c>
      <c r="AT109" s="78"/>
      <c r="AU109" s="78"/>
      <c r="AV109" s="78"/>
      <c r="AW109" s="78"/>
      <c r="AX109" s="78"/>
      <c r="AY109" s="78"/>
      <c r="AZ109" s="78"/>
      <c r="BA109" s="78"/>
      <c r="BB109" s="78"/>
      <c r="BC109" s="184">
        <f>BN109/AS109</f>
        <v>230</v>
      </c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6"/>
      <c r="BN109" s="183">
        <v>1150</v>
      </c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43"/>
      <c r="CD109" s="52">
        <f>BN109</f>
        <v>1150</v>
      </c>
      <c r="CE109" s="48"/>
      <c r="CF109" s="48"/>
      <c r="CG109" s="48"/>
      <c r="CH109" s="48"/>
    </row>
    <row r="110" spans="1:86" ht="24.75" customHeight="1">
      <c r="A110" s="78">
        <f t="shared" si="6"/>
        <v>12</v>
      </c>
      <c r="B110" s="78"/>
      <c r="C110" s="78"/>
      <c r="D110" s="78"/>
      <c r="E110" s="187" t="s">
        <v>260</v>
      </c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92"/>
      <c r="AS110" s="78">
        <v>8120</v>
      </c>
      <c r="AT110" s="78"/>
      <c r="AU110" s="78"/>
      <c r="AV110" s="78"/>
      <c r="AW110" s="78"/>
      <c r="AX110" s="78"/>
      <c r="AY110" s="78"/>
      <c r="AZ110" s="78"/>
      <c r="BA110" s="78"/>
      <c r="BB110" s="78"/>
      <c r="BC110" s="184">
        <f>BN110/AS110</f>
        <v>1.996625615763547</v>
      </c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6"/>
      <c r="BN110" s="183">
        <v>16212.6</v>
      </c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43"/>
      <c r="CD110" s="52">
        <f>BN110</f>
        <v>16212.6</v>
      </c>
      <c r="CE110" s="48"/>
      <c r="CF110" s="48"/>
      <c r="CG110" s="48"/>
      <c r="CH110" s="48"/>
    </row>
    <row r="111" spans="1:86" ht="24.75" customHeight="1">
      <c r="A111" s="78">
        <f t="shared" si="6"/>
        <v>13</v>
      </c>
      <c r="B111" s="78"/>
      <c r="C111" s="78"/>
      <c r="D111" s="78"/>
      <c r="E111" s="187" t="s">
        <v>261</v>
      </c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92"/>
      <c r="AS111" s="66">
        <v>60</v>
      </c>
      <c r="AT111" s="67"/>
      <c r="AU111" s="67"/>
      <c r="AV111" s="67"/>
      <c r="AW111" s="67"/>
      <c r="AX111" s="67"/>
      <c r="AY111" s="67"/>
      <c r="AZ111" s="67"/>
      <c r="BA111" s="67"/>
      <c r="BB111" s="68"/>
      <c r="BC111" s="184">
        <f>BN111/AS111</f>
        <v>60</v>
      </c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6"/>
      <c r="BN111" s="184">
        <v>3600</v>
      </c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6"/>
      <c r="CC111" s="43"/>
      <c r="CD111" s="52">
        <v>3600</v>
      </c>
      <c r="CE111" s="48"/>
      <c r="CF111" s="48"/>
      <c r="CG111" s="48"/>
      <c r="CH111" s="48"/>
    </row>
    <row r="112" spans="1:86" ht="53.25" customHeight="1">
      <c r="A112" s="78">
        <f t="shared" si="6"/>
        <v>14</v>
      </c>
      <c r="B112" s="78"/>
      <c r="C112" s="78"/>
      <c r="D112" s="78"/>
      <c r="E112" s="187" t="s">
        <v>262</v>
      </c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92"/>
      <c r="AS112" s="78">
        <v>2</v>
      </c>
      <c r="AT112" s="78"/>
      <c r="AU112" s="78"/>
      <c r="AV112" s="78"/>
      <c r="AW112" s="78"/>
      <c r="AX112" s="78"/>
      <c r="AY112" s="78"/>
      <c r="AZ112" s="78"/>
      <c r="BA112" s="78"/>
      <c r="BB112" s="78"/>
      <c r="BC112" s="184">
        <v>650</v>
      </c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6"/>
      <c r="BN112" s="183">
        <f>AS112*BC112</f>
        <v>1300</v>
      </c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43"/>
      <c r="CD112" s="52">
        <f>BN112</f>
        <v>1300</v>
      </c>
      <c r="CE112" s="48"/>
      <c r="CF112" s="48"/>
      <c r="CG112" s="48"/>
      <c r="CH112" s="48"/>
    </row>
    <row r="113" spans="1:86" ht="24.75" customHeight="1">
      <c r="A113" s="78">
        <f t="shared" si="6"/>
        <v>15</v>
      </c>
      <c r="B113" s="78"/>
      <c r="C113" s="78"/>
      <c r="D113" s="78"/>
      <c r="E113" s="187" t="s">
        <v>263</v>
      </c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92"/>
      <c r="AS113" s="78">
        <v>5</v>
      </c>
      <c r="AT113" s="78"/>
      <c r="AU113" s="78"/>
      <c r="AV113" s="78"/>
      <c r="AW113" s="78"/>
      <c r="AX113" s="78"/>
      <c r="AY113" s="78"/>
      <c r="AZ113" s="78"/>
      <c r="BA113" s="78"/>
      <c r="BB113" s="78"/>
      <c r="BC113" s="184">
        <v>650</v>
      </c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6"/>
      <c r="BN113" s="183">
        <f>AS113*BC113</f>
        <v>3250</v>
      </c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43"/>
      <c r="CD113" s="52">
        <f>BN113</f>
        <v>3250</v>
      </c>
      <c r="CE113" s="48"/>
      <c r="CF113" s="48"/>
      <c r="CG113" s="48"/>
      <c r="CH113" s="48"/>
    </row>
    <row r="114" spans="1:86" ht="42" customHeight="1">
      <c r="A114" s="78">
        <f t="shared" si="6"/>
        <v>16</v>
      </c>
      <c r="B114" s="78"/>
      <c r="C114" s="78"/>
      <c r="D114" s="78"/>
      <c r="E114" s="187" t="s">
        <v>264</v>
      </c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92"/>
      <c r="AS114" s="78">
        <v>60</v>
      </c>
      <c r="AT114" s="78"/>
      <c r="AU114" s="78"/>
      <c r="AV114" s="78"/>
      <c r="AW114" s="78"/>
      <c r="AX114" s="78"/>
      <c r="AY114" s="78"/>
      <c r="AZ114" s="78"/>
      <c r="BA114" s="78"/>
      <c r="BB114" s="78"/>
      <c r="BC114" s="184">
        <v>60</v>
      </c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6"/>
      <c r="BN114" s="183">
        <f>AS114*BC114</f>
        <v>3600</v>
      </c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43"/>
      <c r="CD114" s="52">
        <f>BN114</f>
        <v>3600</v>
      </c>
      <c r="CE114" s="48"/>
      <c r="CF114" s="48"/>
      <c r="CG114" s="48"/>
      <c r="CH114" s="48"/>
    </row>
    <row r="115" spans="1:86" ht="40.5" customHeight="1">
      <c r="A115" s="78">
        <f t="shared" si="6"/>
        <v>17</v>
      </c>
      <c r="B115" s="78"/>
      <c r="C115" s="78"/>
      <c r="D115" s="78"/>
      <c r="E115" s="187" t="s">
        <v>265</v>
      </c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92"/>
      <c r="AS115" s="78">
        <v>1</v>
      </c>
      <c r="AT115" s="78"/>
      <c r="AU115" s="78"/>
      <c r="AV115" s="78"/>
      <c r="AW115" s="78"/>
      <c r="AX115" s="78"/>
      <c r="AY115" s="78"/>
      <c r="AZ115" s="78"/>
      <c r="BA115" s="78"/>
      <c r="BB115" s="78"/>
      <c r="BC115" s="184">
        <v>650</v>
      </c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6"/>
      <c r="BN115" s="183">
        <v>650</v>
      </c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43"/>
      <c r="CD115" s="52">
        <v>650</v>
      </c>
      <c r="CE115" s="48"/>
      <c r="CF115" s="48"/>
      <c r="CG115" s="48"/>
      <c r="CH115" s="48"/>
    </row>
    <row r="116" spans="1:86" ht="24.75" customHeight="1">
      <c r="A116" s="78">
        <f t="shared" si="6"/>
        <v>18</v>
      </c>
      <c r="B116" s="78"/>
      <c r="C116" s="78"/>
      <c r="D116" s="78"/>
      <c r="E116" s="187" t="s">
        <v>266</v>
      </c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92"/>
      <c r="AS116" s="78">
        <v>31</v>
      </c>
      <c r="AT116" s="78"/>
      <c r="AU116" s="78"/>
      <c r="AV116" s="78"/>
      <c r="AW116" s="78"/>
      <c r="AX116" s="78"/>
      <c r="AY116" s="78"/>
      <c r="AZ116" s="78"/>
      <c r="BA116" s="78"/>
      <c r="BB116" s="78"/>
      <c r="BC116" s="184">
        <f>BN116/AS116</f>
        <v>422.38709677419354</v>
      </c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6"/>
      <c r="BN116" s="183">
        <v>13094</v>
      </c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43"/>
      <c r="CD116" s="52">
        <f>BN116</f>
        <v>13094</v>
      </c>
      <c r="CE116" s="48"/>
      <c r="CF116" s="48"/>
      <c r="CG116" s="48"/>
      <c r="CH116" s="48"/>
    </row>
    <row r="117" spans="1:86" ht="24.75" customHeight="1">
      <c r="A117" s="78">
        <f t="shared" si="6"/>
        <v>19</v>
      </c>
      <c r="B117" s="78"/>
      <c r="C117" s="78"/>
      <c r="D117" s="78"/>
      <c r="E117" s="187" t="s">
        <v>267</v>
      </c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92"/>
      <c r="AS117" s="78">
        <v>200</v>
      </c>
      <c r="AT117" s="78"/>
      <c r="AU117" s="78"/>
      <c r="AV117" s="78"/>
      <c r="AW117" s="78"/>
      <c r="AX117" s="78"/>
      <c r="AY117" s="78"/>
      <c r="AZ117" s="78"/>
      <c r="BA117" s="78"/>
      <c r="BB117" s="78"/>
      <c r="BC117" s="184">
        <v>50</v>
      </c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6"/>
      <c r="BN117" s="183">
        <f>AS117*BC117</f>
        <v>10000</v>
      </c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43"/>
      <c r="CD117" s="52">
        <f>BN117</f>
        <v>10000</v>
      </c>
      <c r="CE117" s="48"/>
      <c r="CF117" s="48"/>
      <c r="CG117" s="48"/>
      <c r="CH117" s="48"/>
    </row>
    <row r="118" spans="1:86" ht="35.25" customHeight="1">
      <c r="A118" s="78">
        <f t="shared" si="6"/>
        <v>20</v>
      </c>
      <c r="B118" s="78"/>
      <c r="C118" s="78"/>
      <c r="D118" s="78"/>
      <c r="E118" s="187" t="s">
        <v>268</v>
      </c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92"/>
      <c r="AS118" s="78">
        <v>53</v>
      </c>
      <c r="AT118" s="78"/>
      <c r="AU118" s="78"/>
      <c r="AV118" s="78"/>
      <c r="AW118" s="78"/>
      <c r="AX118" s="78"/>
      <c r="AY118" s="78"/>
      <c r="AZ118" s="78"/>
      <c r="BA118" s="78"/>
      <c r="BB118" s="78"/>
      <c r="BC118" s="184">
        <f>BN118/AS118</f>
        <v>264.1509433962264</v>
      </c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6"/>
      <c r="BN118" s="183">
        <v>14000</v>
      </c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43"/>
      <c r="CD118" s="52">
        <f>BN118</f>
        <v>14000</v>
      </c>
      <c r="CE118" s="48"/>
      <c r="CF118" s="48"/>
      <c r="CG118" s="48"/>
      <c r="CH118" s="48"/>
    </row>
    <row r="119" spans="1:86" ht="12.75">
      <c r="A119" s="205" t="s">
        <v>77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7"/>
      <c r="AS119" s="211" t="s">
        <v>3</v>
      </c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 t="s">
        <v>3</v>
      </c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181">
        <f>SUM(BN99:CB118)</f>
        <v>141537.17</v>
      </c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51"/>
      <c r="CD119" s="51">
        <f>SUM(CD99:CD118)</f>
        <v>141537.17</v>
      </c>
      <c r="CE119" s="48"/>
      <c r="CF119" s="48"/>
      <c r="CG119" s="48"/>
      <c r="CH119" s="50"/>
    </row>
    <row r="120" spans="1:86" ht="39" customHeight="1">
      <c r="A120" s="78">
        <v>1</v>
      </c>
      <c r="B120" s="78"/>
      <c r="C120" s="78"/>
      <c r="D120" s="78"/>
      <c r="E120" s="187" t="s">
        <v>269</v>
      </c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92"/>
      <c r="AS120" s="78">
        <v>60</v>
      </c>
      <c r="AT120" s="78"/>
      <c r="AU120" s="78"/>
      <c r="AV120" s="78"/>
      <c r="AW120" s="78"/>
      <c r="AX120" s="78"/>
      <c r="AY120" s="78"/>
      <c r="AZ120" s="78"/>
      <c r="BA120" s="78"/>
      <c r="BB120" s="78"/>
      <c r="BC120" s="183">
        <f>BN120/AS120</f>
        <v>750</v>
      </c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>
        <v>45000</v>
      </c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43"/>
      <c r="CD120" s="52">
        <f>BN120</f>
        <v>45000</v>
      </c>
      <c r="CE120" s="48"/>
      <c r="CF120" s="48"/>
      <c r="CG120" s="48"/>
      <c r="CH120" s="48"/>
    </row>
    <row r="121" spans="1:86" ht="24.75" customHeight="1">
      <c r="A121" s="78">
        <f>A120+1</f>
        <v>2</v>
      </c>
      <c r="B121" s="78"/>
      <c r="C121" s="78"/>
      <c r="D121" s="78"/>
      <c r="E121" s="187" t="s">
        <v>270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92"/>
      <c r="AS121" s="78">
        <v>10</v>
      </c>
      <c r="AT121" s="78"/>
      <c r="AU121" s="78"/>
      <c r="AV121" s="78"/>
      <c r="AW121" s="78"/>
      <c r="AX121" s="78"/>
      <c r="AY121" s="78"/>
      <c r="AZ121" s="78"/>
      <c r="BA121" s="78"/>
      <c r="BB121" s="78"/>
      <c r="BC121" s="183">
        <f>BN121/AS121</f>
        <v>500</v>
      </c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>
        <v>5000</v>
      </c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43"/>
      <c r="CD121" s="52">
        <f>BN121</f>
        <v>5000</v>
      </c>
      <c r="CE121" s="48"/>
      <c r="CF121" s="48"/>
      <c r="CG121" s="48"/>
      <c r="CH121" s="48"/>
    </row>
    <row r="122" spans="1:86" ht="51.75" customHeight="1">
      <c r="A122" s="78">
        <f>A121+1</f>
        <v>3</v>
      </c>
      <c r="B122" s="78"/>
      <c r="C122" s="78"/>
      <c r="D122" s="78"/>
      <c r="E122" s="187" t="s">
        <v>271</v>
      </c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92"/>
      <c r="AS122" s="78">
        <v>30</v>
      </c>
      <c r="AT122" s="78"/>
      <c r="AU122" s="78"/>
      <c r="AV122" s="78"/>
      <c r="AW122" s="78"/>
      <c r="AX122" s="78"/>
      <c r="AY122" s="78"/>
      <c r="AZ122" s="78"/>
      <c r="BA122" s="78"/>
      <c r="BB122" s="78"/>
      <c r="BC122" s="183">
        <f>BN122/AS122</f>
        <v>500</v>
      </c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>
        <v>15000</v>
      </c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43"/>
      <c r="CD122" s="52">
        <f>BN122</f>
        <v>15000</v>
      </c>
      <c r="CE122" s="48"/>
      <c r="CF122" s="48"/>
      <c r="CG122" s="48"/>
      <c r="CH122" s="48"/>
    </row>
    <row r="123" spans="1:86" ht="12.75">
      <c r="A123" s="205" t="s">
        <v>78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7"/>
      <c r="AS123" s="211" t="s">
        <v>3</v>
      </c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 t="s">
        <v>3</v>
      </c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9">
        <f>SUM(BN120:CB122)</f>
        <v>65000</v>
      </c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8"/>
      <c r="CD123" s="61">
        <f>SUM(CD120:CD122)</f>
        <v>65000</v>
      </c>
      <c r="CE123" s="48"/>
      <c r="CF123" s="48"/>
      <c r="CG123" s="48"/>
      <c r="CH123" s="60"/>
    </row>
  </sheetData>
  <sheetProtection/>
  <mergeCells count="521">
    <mergeCell ref="A122:D122"/>
    <mergeCell ref="E122:AR122"/>
    <mergeCell ref="AS122:BB122"/>
    <mergeCell ref="BC122:BM122"/>
    <mergeCell ref="BN122:CB122"/>
    <mergeCell ref="A123:AR123"/>
    <mergeCell ref="AS123:BB123"/>
    <mergeCell ref="BC123:BM123"/>
    <mergeCell ref="BN123:CB123"/>
    <mergeCell ref="CE4:CG4"/>
    <mergeCell ref="CE5:CE6"/>
    <mergeCell ref="CE24:CG24"/>
    <mergeCell ref="CE25:CE26"/>
    <mergeCell ref="BD68:BM71"/>
    <mergeCell ref="A121:D121"/>
    <mergeCell ref="E121:AR121"/>
    <mergeCell ref="E27:AN27"/>
    <mergeCell ref="A27:D27"/>
    <mergeCell ref="BD27:BM27"/>
    <mergeCell ref="A8:D8"/>
    <mergeCell ref="E8:AM8"/>
    <mergeCell ref="AN8:BC8"/>
    <mergeCell ref="BD8:BM8"/>
    <mergeCell ref="BN8:CB8"/>
    <mergeCell ref="A9:D9"/>
    <mergeCell ref="E9:AM9"/>
    <mergeCell ref="AN9:BC9"/>
    <mergeCell ref="CC24:CD24"/>
    <mergeCell ref="CH24:CH26"/>
    <mergeCell ref="CC25:CC26"/>
    <mergeCell ref="CD25:CD26"/>
    <mergeCell ref="CG25:CG26"/>
    <mergeCell ref="BN18:CB18"/>
    <mergeCell ref="E7:AM7"/>
    <mergeCell ref="AN7:BC7"/>
    <mergeCell ref="CF25:CF26"/>
    <mergeCell ref="BN19:CB19"/>
    <mergeCell ref="AN19:BC19"/>
    <mergeCell ref="CE69:CG69"/>
    <mergeCell ref="CC69:CD69"/>
    <mergeCell ref="E14:AM14"/>
    <mergeCell ref="BN14:CB14"/>
    <mergeCell ref="BN15:CB15"/>
    <mergeCell ref="CH69:CH71"/>
    <mergeCell ref="CF70:CF71"/>
    <mergeCell ref="BD23:BM26"/>
    <mergeCell ref="BN23:CB26"/>
    <mergeCell ref="E23:AN26"/>
    <mergeCell ref="BN27:CB27"/>
    <mergeCell ref="CC68:CH68"/>
    <mergeCell ref="AO27:BC27"/>
    <mergeCell ref="CC23:CH23"/>
    <mergeCell ref="CC70:CC71"/>
    <mergeCell ref="A3:D6"/>
    <mergeCell ref="E3:AM6"/>
    <mergeCell ref="CF5:CF6"/>
    <mergeCell ref="CG5:CG6"/>
    <mergeCell ref="BD7:BM7"/>
    <mergeCell ref="BN7:CB7"/>
    <mergeCell ref="CC3:CH3"/>
    <mergeCell ref="CC4:CD4"/>
    <mergeCell ref="CH4:CH6"/>
    <mergeCell ref="A7:D7"/>
    <mergeCell ref="CC5:CC6"/>
    <mergeCell ref="BD9:BM9"/>
    <mergeCell ref="BN9:CB9"/>
    <mergeCell ref="BD19:BM19"/>
    <mergeCell ref="AN3:BC6"/>
    <mergeCell ref="BD3:BM6"/>
    <mergeCell ref="BN3:CB6"/>
    <mergeCell ref="BN13:CB13"/>
    <mergeCell ref="AN14:BC14"/>
    <mergeCell ref="BD14:BM14"/>
    <mergeCell ref="CD5:CD6"/>
    <mergeCell ref="AS80:BB83"/>
    <mergeCell ref="BC80:BM83"/>
    <mergeCell ref="BN80:CB83"/>
    <mergeCell ref="CC80:CH80"/>
    <mergeCell ref="CC81:CD81"/>
    <mergeCell ref="CH81:CH83"/>
    <mergeCell ref="CC82:CC83"/>
    <mergeCell ref="CE81:CG81"/>
    <mergeCell ref="CE82:CE83"/>
    <mergeCell ref="CF82:CF83"/>
    <mergeCell ref="CG82:CG83"/>
    <mergeCell ref="A84:D84"/>
    <mergeCell ref="E84:AR84"/>
    <mergeCell ref="AS84:BB84"/>
    <mergeCell ref="BC84:BM84"/>
    <mergeCell ref="BN84:CB84"/>
    <mergeCell ref="A80:D83"/>
    <mergeCell ref="E80:AR83"/>
    <mergeCell ref="BN99:CB99"/>
    <mergeCell ref="AS86:BB86"/>
    <mergeCell ref="BC86:BM86"/>
    <mergeCell ref="CD82:CD83"/>
    <mergeCell ref="BN86:CB86"/>
    <mergeCell ref="AS93:BB93"/>
    <mergeCell ref="BC93:BM93"/>
    <mergeCell ref="BN93:CB93"/>
    <mergeCell ref="AS90:BB90"/>
    <mergeCell ref="BN92:CB92"/>
    <mergeCell ref="A86:AR86"/>
    <mergeCell ref="A85:D85"/>
    <mergeCell ref="E85:AR85"/>
    <mergeCell ref="AS85:BB85"/>
    <mergeCell ref="BC85:BM85"/>
    <mergeCell ref="BN85:CB85"/>
    <mergeCell ref="BC90:BM90"/>
    <mergeCell ref="BN90:CB90"/>
    <mergeCell ref="BC88:BM88"/>
    <mergeCell ref="A95:D95"/>
    <mergeCell ref="A91:D91"/>
    <mergeCell ref="E91:AR91"/>
    <mergeCell ref="AS91:BB91"/>
    <mergeCell ref="BC91:BM91"/>
    <mergeCell ref="BN91:CB91"/>
    <mergeCell ref="A92:D92"/>
    <mergeCell ref="E92:AR92"/>
    <mergeCell ref="AS92:BB92"/>
    <mergeCell ref="BC92:BM92"/>
    <mergeCell ref="E94:AR94"/>
    <mergeCell ref="AS94:BB94"/>
    <mergeCell ref="BC94:BM94"/>
    <mergeCell ref="BN94:CB94"/>
    <mergeCell ref="E95:AR95"/>
    <mergeCell ref="AS95:BB95"/>
    <mergeCell ref="BC95:BM95"/>
    <mergeCell ref="BN95:CB95"/>
    <mergeCell ref="BN96:CB96"/>
    <mergeCell ref="A99:D99"/>
    <mergeCell ref="E99:AR99"/>
    <mergeCell ref="AS98:BB98"/>
    <mergeCell ref="BC98:BM98"/>
    <mergeCell ref="BN98:CB98"/>
    <mergeCell ref="A97:D97"/>
    <mergeCell ref="E97:AR97"/>
    <mergeCell ref="AS99:BB99"/>
    <mergeCell ref="BC99:BM99"/>
    <mergeCell ref="A94:D94"/>
    <mergeCell ref="AS121:BB121"/>
    <mergeCell ref="BC121:BM121"/>
    <mergeCell ref="BN121:CB121"/>
    <mergeCell ref="BC119:BM119"/>
    <mergeCell ref="BC117:BM117"/>
    <mergeCell ref="BN117:CB117"/>
    <mergeCell ref="BC118:BM118"/>
    <mergeCell ref="BN118:CB118"/>
    <mergeCell ref="BC96:BM96"/>
    <mergeCell ref="BN119:CB119"/>
    <mergeCell ref="A93:AR93"/>
    <mergeCell ref="A96:AR96"/>
    <mergeCell ref="A98:AR98"/>
    <mergeCell ref="A119:AR119"/>
    <mergeCell ref="AS119:BB119"/>
    <mergeCell ref="A117:D117"/>
    <mergeCell ref="E117:AR117"/>
    <mergeCell ref="AS117:BB117"/>
    <mergeCell ref="A118:D118"/>
    <mergeCell ref="BN68:CB71"/>
    <mergeCell ref="A120:D120"/>
    <mergeCell ref="E120:AR120"/>
    <mergeCell ref="CD70:CD71"/>
    <mergeCell ref="CE70:CE71"/>
    <mergeCell ref="CG70:CG71"/>
    <mergeCell ref="A72:D72"/>
    <mergeCell ref="E72:AN72"/>
    <mergeCell ref="AO72:BC72"/>
    <mergeCell ref="BD72:BM72"/>
    <mergeCell ref="BD75:BM75"/>
    <mergeCell ref="A10:D10"/>
    <mergeCell ref="E10:AM10"/>
    <mergeCell ref="AN10:BC10"/>
    <mergeCell ref="BD10:BM10"/>
    <mergeCell ref="BN10:CB10"/>
    <mergeCell ref="BN72:CB72"/>
    <mergeCell ref="AO23:BC26"/>
    <mergeCell ref="A23:D26"/>
    <mergeCell ref="A19:AM19"/>
    <mergeCell ref="BD73:BM73"/>
    <mergeCell ref="BN11:CB11"/>
    <mergeCell ref="AS97:BB97"/>
    <mergeCell ref="BC97:BM97"/>
    <mergeCell ref="BN97:CB97"/>
    <mergeCell ref="AS96:BB96"/>
    <mergeCell ref="BN73:CB73"/>
    <mergeCell ref="AO74:BC74"/>
    <mergeCell ref="BD74:BM74"/>
    <mergeCell ref="BN74:CB74"/>
    <mergeCell ref="A11:D11"/>
    <mergeCell ref="E11:AM11"/>
    <mergeCell ref="AN11:BC11"/>
    <mergeCell ref="AN17:BC17"/>
    <mergeCell ref="A75:AN75"/>
    <mergeCell ref="A73:D73"/>
    <mergeCell ref="E73:AN73"/>
    <mergeCell ref="AO73:BC73"/>
    <mergeCell ref="A74:D74"/>
    <mergeCell ref="E74:AN74"/>
    <mergeCell ref="A17:D17"/>
    <mergeCell ref="E17:AM17"/>
    <mergeCell ref="AO68:BC71"/>
    <mergeCell ref="E68:AN71"/>
    <mergeCell ref="A90:AR90"/>
    <mergeCell ref="AO75:BC75"/>
    <mergeCell ref="A68:D71"/>
    <mergeCell ref="AN16:BC16"/>
    <mergeCell ref="BD16:BM16"/>
    <mergeCell ref="BD11:BM11"/>
    <mergeCell ref="A13:D13"/>
    <mergeCell ref="BN17:CB17"/>
    <mergeCell ref="A15:D15"/>
    <mergeCell ref="E15:AM15"/>
    <mergeCell ref="AN15:BC15"/>
    <mergeCell ref="BD15:BM15"/>
    <mergeCell ref="BN16:CB16"/>
    <mergeCell ref="A12:D12"/>
    <mergeCell ref="E12:AM12"/>
    <mergeCell ref="AN12:BC12"/>
    <mergeCell ref="BD12:BM12"/>
    <mergeCell ref="BN12:CB12"/>
    <mergeCell ref="AN13:BC13"/>
    <mergeCell ref="BD13:BM13"/>
    <mergeCell ref="BN115:CB115"/>
    <mergeCell ref="E112:AR112"/>
    <mergeCell ref="AS112:BB112"/>
    <mergeCell ref="BC112:BM112"/>
    <mergeCell ref="AS115:BB115"/>
    <mergeCell ref="A14:D14"/>
    <mergeCell ref="A18:D18"/>
    <mergeCell ref="E18:AM18"/>
    <mergeCell ref="AN18:BC18"/>
    <mergeCell ref="BN75:CB75"/>
    <mergeCell ref="A31:D31"/>
    <mergeCell ref="E35:AN35"/>
    <mergeCell ref="AO35:BC35"/>
    <mergeCell ref="E13:AM13"/>
    <mergeCell ref="A116:D116"/>
    <mergeCell ref="E116:AR116"/>
    <mergeCell ref="AS116:BB116"/>
    <mergeCell ref="BC116:BM116"/>
    <mergeCell ref="A115:D115"/>
    <mergeCell ref="BD17:BM17"/>
    <mergeCell ref="A16:D16"/>
    <mergeCell ref="E16:AM16"/>
    <mergeCell ref="A112:D112"/>
    <mergeCell ref="BN116:CB116"/>
    <mergeCell ref="AS120:BB120"/>
    <mergeCell ref="BC120:BM120"/>
    <mergeCell ref="BN120:CB120"/>
    <mergeCell ref="E118:AR118"/>
    <mergeCell ref="AS118:BB118"/>
    <mergeCell ref="BD18:BM18"/>
    <mergeCell ref="BC115:BM115"/>
    <mergeCell ref="A114:D114"/>
    <mergeCell ref="E114:AR114"/>
    <mergeCell ref="E110:AR110"/>
    <mergeCell ref="AS110:BB110"/>
    <mergeCell ref="BC110:BM110"/>
    <mergeCell ref="A113:D113"/>
    <mergeCell ref="AS113:BB113"/>
    <mergeCell ref="BC113:BM113"/>
    <mergeCell ref="E115:AR115"/>
    <mergeCell ref="BN110:CB110"/>
    <mergeCell ref="AS114:BB114"/>
    <mergeCell ref="BC114:BM114"/>
    <mergeCell ref="BN114:CB114"/>
    <mergeCell ref="BN112:CB112"/>
    <mergeCell ref="E108:AR108"/>
    <mergeCell ref="AS108:BB108"/>
    <mergeCell ref="BC108:BM108"/>
    <mergeCell ref="BN108:CB108"/>
    <mergeCell ref="E113:AR113"/>
    <mergeCell ref="BN113:CB113"/>
    <mergeCell ref="A110:D110"/>
    <mergeCell ref="E106:AR106"/>
    <mergeCell ref="AS106:BB106"/>
    <mergeCell ref="BC106:BM106"/>
    <mergeCell ref="BN106:CB106"/>
    <mergeCell ref="A111:D111"/>
    <mergeCell ref="E111:AR111"/>
    <mergeCell ref="AS111:BB111"/>
    <mergeCell ref="BC111:BM111"/>
    <mergeCell ref="BN111:CB111"/>
    <mergeCell ref="A108:D108"/>
    <mergeCell ref="E104:AR104"/>
    <mergeCell ref="AS104:BB104"/>
    <mergeCell ref="BC104:BM104"/>
    <mergeCell ref="BN104:CB104"/>
    <mergeCell ref="A109:D109"/>
    <mergeCell ref="E109:AR109"/>
    <mergeCell ref="AS109:BB109"/>
    <mergeCell ref="BC109:BM109"/>
    <mergeCell ref="BN109:CB109"/>
    <mergeCell ref="A106:D106"/>
    <mergeCell ref="E102:AR102"/>
    <mergeCell ref="AS102:BB102"/>
    <mergeCell ref="BC102:BM102"/>
    <mergeCell ref="BN102:CB102"/>
    <mergeCell ref="A107:D107"/>
    <mergeCell ref="E107:AR107"/>
    <mergeCell ref="AS107:BB107"/>
    <mergeCell ref="BC107:BM107"/>
    <mergeCell ref="BN107:CB107"/>
    <mergeCell ref="A104:D104"/>
    <mergeCell ref="E89:AR89"/>
    <mergeCell ref="AS89:BB89"/>
    <mergeCell ref="BC89:BM89"/>
    <mergeCell ref="BN89:CB89"/>
    <mergeCell ref="A105:D105"/>
    <mergeCell ref="E105:AR105"/>
    <mergeCell ref="AS105:BB105"/>
    <mergeCell ref="BC105:BM105"/>
    <mergeCell ref="BN105:CB105"/>
    <mergeCell ref="A102:D102"/>
    <mergeCell ref="E87:AR87"/>
    <mergeCell ref="AS87:BB87"/>
    <mergeCell ref="BC87:BM87"/>
    <mergeCell ref="BN87:CB87"/>
    <mergeCell ref="A103:D103"/>
    <mergeCell ref="E103:AR103"/>
    <mergeCell ref="AS103:BB103"/>
    <mergeCell ref="BC103:BM103"/>
    <mergeCell ref="BN103:CB103"/>
    <mergeCell ref="A89:D89"/>
    <mergeCell ref="A28:D28"/>
    <mergeCell ref="E28:AM28"/>
    <mergeCell ref="AN28:BC28"/>
    <mergeCell ref="BD28:BM28"/>
    <mergeCell ref="BN28:CB28"/>
    <mergeCell ref="A101:D101"/>
    <mergeCell ref="E101:AR101"/>
    <mergeCell ref="AS101:BB101"/>
    <mergeCell ref="BC101:BM101"/>
    <mergeCell ref="BN101:CB101"/>
    <mergeCell ref="A29:D29"/>
    <mergeCell ref="E29:AM29"/>
    <mergeCell ref="AN29:BC29"/>
    <mergeCell ref="BD29:BM29"/>
    <mergeCell ref="BN29:CB29"/>
    <mergeCell ref="A88:D88"/>
    <mergeCell ref="E88:AR88"/>
    <mergeCell ref="AS88:BB88"/>
    <mergeCell ref="BN88:CB88"/>
    <mergeCell ref="E31:AM31"/>
    <mergeCell ref="AN31:BC31"/>
    <mergeCell ref="BD31:BM31"/>
    <mergeCell ref="BN31:CB31"/>
    <mergeCell ref="A100:D100"/>
    <mergeCell ref="E100:AR100"/>
    <mergeCell ref="AS100:BB100"/>
    <mergeCell ref="BC100:BM100"/>
    <mergeCell ref="BN100:CB100"/>
    <mergeCell ref="A87:D87"/>
    <mergeCell ref="E33:AM33"/>
    <mergeCell ref="AN33:BC33"/>
    <mergeCell ref="BD33:BM33"/>
    <mergeCell ref="BN33:CB33"/>
    <mergeCell ref="A30:D30"/>
    <mergeCell ref="E30:AM30"/>
    <mergeCell ref="AN30:BC30"/>
    <mergeCell ref="BD30:BM30"/>
    <mergeCell ref="BN30:CB30"/>
    <mergeCell ref="BD35:BM35"/>
    <mergeCell ref="BN35:CB35"/>
    <mergeCell ref="A32:D32"/>
    <mergeCell ref="E32:AM32"/>
    <mergeCell ref="AN32:BC32"/>
    <mergeCell ref="BD32:BM32"/>
    <mergeCell ref="BN32:CB32"/>
    <mergeCell ref="A33:D33"/>
    <mergeCell ref="E37:AN37"/>
    <mergeCell ref="AO37:BC37"/>
    <mergeCell ref="BD37:BM37"/>
    <mergeCell ref="BN37:CB37"/>
    <mergeCell ref="A34:D34"/>
    <mergeCell ref="E34:AN34"/>
    <mergeCell ref="AO34:BC34"/>
    <mergeCell ref="BD34:BM34"/>
    <mergeCell ref="BN34:CB34"/>
    <mergeCell ref="A35:D35"/>
    <mergeCell ref="E39:AN39"/>
    <mergeCell ref="AO39:BC39"/>
    <mergeCell ref="BD39:BM39"/>
    <mergeCell ref="BN39:CB39"/>
    <mergeCell ref="A36:D36"/>
    <mergeCell ref="E36:AN36"/>
    <mergeCell ref="AO36:BC36"/>
    <mergeCell ref="BD36:BM36"/>
    <mergeCell ref="BN36:CB36"/>
    <mergeCell ref="A37:D37"/>
    <mergeCell ref="E41:AN41"/>
    <mergeCell ref="AO41:BC41"/>
    <mergeCell ref="BD41:BM41"/>
    <mergeCell ref="BN41:CB41"/>
    <mergeCell ref="A38:D38"/>
    <mergeCell ref="E38:AN38"/>
    <mergeCell ref="AO38:BC38"/>
    <mergeCell ref="BD38:BM38"/>
    <mergeCell ref="BN38:CB38"/>
    <mergeCell ref="A39:D39"/>
    <mergeCell ref="E43:AN43"/>
    <mergeCell ref="AO43:BC43"/>
    <mergeCell ref="BD43:BM43"/>
    <mergeCell ref="BN43:CB43"/>
    <mergeCell ref="A40:D40"/>
    <mergeCell ref="E40:AN40"/>
    <mergeCell ref="AO40:BC40"/>
    <mergeCell ref="BD40:BM40"/>
    <mergeCell ref="BN40:CB40"/>
    <mergeCell ref="A41:D41"/>
    <mergeCell ref="E45:AN45"/>
    <mergeCell ref="AO45:BC45"/>
    <mergeCell ref="BD45:BM45"/>
    <mergeCell ref="BN45:CB45"/>
    <mergeCell ref="A42:D42"/>
    <mergeCell ref="E42:AN42"/>
    <mergeCell ref="AO42:BC42"/>
    <mergeCell ref="BD42:BM42"/>
    <mergeCell ref="BN42:CB42"/>
    <mergeCell ref="A43:D43"/>
    <mergeCell ref="E47:AN47"/>
    <mergeCell ref="AO47:BC47"/>
    <mergeCell ref="BD47:BM47"/>
    <mergeCell ref="BN47:CB47"/>
    <mergeCell ref="A44:D44"/>
    <mergeCell ref="E44:AN44"/>
    <mergeCell ref="AO44:BC44"/>
    <mergeCell ref="BD44:BM44"/>
    <mergeCell ref="BN44:CB44"/>
    <mergeCell ref="A45:D45"/>
    <mergeCell ref="E49:AN49"/>
    <mergeCell ref="AO49:BC49"/>
    <mergeCell ref="BD49:BM49"/>
    <mergeCell ref="BN49:CB49"/>
    <mergeCell ref="A46:D46"/>
    <mergeCell ref="E46:AN46"/>
    <mergeCell ref="AO46:BC46"/>
    <mergeCell ref="BD46:BM46"/>
    <mergeCell ref="BN46:CB46"/>
    <mergeCell ref="A47:D47"/>
    <mergeCell ref="E51:AN51"/>
    <mergeCell ref="AO51:BC51"/>
    <mergeCell ref="BD51:BM51"/>
    <mergeCell ref="BN51:CB51"/>
    <mergeCell ref="A48:D48"/>
    <mergeCell ref="E48:AN48"/>
    <mergeCell ref="AO48:BC48"/>
    <mergeCell ref="BD48:BM48"/>
    <mergeCell ref="BN48:CB48"/>
    <mergeCell ref="A49:D49"/>
    <mergeCell ref="E53:AN53"/>
    <mergeCell ref="AO53:BC53"/>
    <mergeCell ref="BD53:BM53"/>
    <mergeCell ref="BN53:CB53"/>
    <mergeCell ref="A50:D50"/>
    <mergeCell ref="E50:AN50"/>
    <mergeCell ref="AO50:BC50"/>
    <mergeCell ref="BD50:BM50"/>
    <mergeCell ref="BN50:CB50"/>
    <mergeCell ref="A51:D51"/>
    <mergeCell ref="E55:AN55"/>
    <mergeCell ref="AO55:BC55"/>
    <mergeCell ref="BD55:BM55"/>
    <mergeCell ref="BN55:CB55"/>
    <mergeCell ref="A52:D52"/>
    <mergeCell ref="E52:AN52"/>
    <mergeCell ref="AO52:BC52"/>
    <mergeCell ref="BD52:BM52"/>
    <mergeCell ref="BN52:CB52"/>
    <mergeCell ref="A53:D53"/>
    <mergeCell ref="E57:AN57"/>
    <mergeCell ref="AO57:BC57"/>
    <mergeCell ref="BD57:BM57"/>
    <mergeCell ref="BN57:CB57"/>
    <mergeCell ref="A54:D54"/>
    <mergeCell ref="E54:AN54"/>
    <mergeCell ref="AO54:BC54"/>
    <mergeCell ref="BD54:BM54"/>
    <mergeCell ref="BN54:CB54"/>
    <mergeCell ref="A55:D55"/>
    <mergeCell ref="E59:AN59"/>
    <mergeCell ref="AO59:BC59"/>
    <mergeCell ref="BD59:BM59"/>
    <mergeCell ref="BN59:CB59"/>
    <mergeCell ref="A56:D56"/>
    <mergeCell ref="E56:AN56"/>
    <mergeCell ref="AO56:BC56"/>
    <mergeCell ref="BD56:BM56"/>
    <mergeCell ref="BN56:CB56"/>
    <mergeCell ref="A57:D57"/>
    <mergeCell ref="E61:AN61"/>
    <mergeCell ref="AO61:BC61"/>
    <mergeCell ref="BD61:BM61"/>
    <mergeCell ref="BN61:CB61"/>
    <mergeCell ref="A58:D58"/>
    <mergeCell ref="E58:AN58"/>
    <mergeCell ref="AO58:BC58"/>
    <mergeCell ref="BD58:BM58"/>
    <mergeCell ref="BN58:CB58"/>
    <mergeCell ref="A59:D59"/>
    <mergeCell ref="E63:AN63"/>
    <mergeCell ref="AO63:BC63"/>
    <mergeCell ref="BD63:BM63"/>
    <mergeCell ref="BN63:CB63"/>
    <mergeCell ref="A60:D60"/>
    <mergeCell ref="E60:AN60"/>
    <mergeCell ref="AO60:BC60"/>
    <mergeCell ref="BD60:BM60"/>
    <mergeCell ref="BN60:CB60"/>
    <mergeCell ref="A61:D61"/>
    <mergeCell ref="A64:AM64"/>
    <mergeCell ref="AN64:BC64"/>
    <mergeCell ref="BD64:BM64"/>
    <mergeCell ref="BN64:CB64"/>
    <mergeCell ref="A62:D62"/>
    <mergeCell ref="E62:AN62"/>
    <mergeCell ref="AO62:BC62"/>
    <mergeCell ref="BD62:BM62"/>
    <mergeCell ref="BN62:CB62"/>
    <mergeCell ref="A63:D6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F10E6"/>
  </sheetPr>
  <dimension ref="A1:CH38"/>
  <sheetViews>
    <sheetView zoomScalePageLayoutView="0" workbookViewId="0" topLeftCell="A1">
      <selection activeCell="E37" sqref="E37:AR37"/>
    </sheetView>
  </sheetViews>
  <sheetFormatPr defaultColWidth="1.12109375" defaultRowHeight="12.75"/>
  <cols>
    <col min="1" max="1" width="2.125" style="7" bestFit="1" customWidth="1"/>
    <col min="2" max="80" width="1.12109375" style="7" customWidth="1"/>
    <col min="81" max="83" width="9.50390625" style="7" customWidth="1"/>
    <col min="84" max="84" width="9.125" style="7" customWidth="1"/>
    <col min="85" max="85" width="8.50390625" style="7" customWidth="1"/>
    <col min="86" max="86" width="15.125" style="7" customWidth="1"/>
    <col min="87" max="16384" width="1.12109375" style="7" customWidth="1"/>
  </cols>
  <sheetData>
    <row r="1" ht="15">
      <c r="A1" s="3" t="s">
        <v>135</v>
      </c>
    </row>
    <row r="2" ht="12.75" hidden="1"/>
    <row r="3" spans="1:86" s="3" customFormat="1" ht="15" hidden="1">
      <c r="A3" s="19" t="s">
        <v>136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</row>
    <row r="4" spans="1:80" s="6" customFormat="1" ht="7.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6" ht="12.75" customHeight="1" hidden="1">
      <c r="A5" s="125" t="s">
        <v>39</v>
      </c>
      <c r="B5" s="125"/>
      <c r="C5" s="125"/>
      <c r="D5" s="125"/>
      <c r="E5" s="92" t="s">
        <v>4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3" t="s">
        <v>64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5"/>
      <c r="CC5" s="231"/>
      <c r="CD5" s="231"/>
      <c r="CE5" s="231"/>
      <c r="CF5" s="231"/>
      <c r="CG5" s="231"/>
      <c r="CH5" s="231"/>
    </row>
    <row r="6" spans="1:86" ht="83.25" customHeight="1" hidden="1">
      <c r="A6" s="125"/>
      <c r="B6" s="125"/>
      <c r="C6" s="125"/>
      <c r="D6" s="125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8"/>
      <c r="CC6" s="97"/>
      <c r="CD6" s="97"/>
      <c r="CE6" s="97"/>
      <c r="CF6" s="97"/>
      <c r="CG6" s="97"/>
      <c r="CH6" s="97"/>
    </row>
    <row r="7" spans="1:86" ht="12.75" customHeight="1" hidden="1">
      <c r="A7" s="125"/>
      <c r="B7" s="125"/>
      <c r="C7" s="125"/>
      <c r="D7" s="12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6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8"/>
      <c r="CC7" s="229"/>
      <c r="CD7" s="229"/>
      <c r="CE7" s="229"/>
      <c r="CF7" s="229"/>
      <c r="CG7" s="229"/>
      <c r="CH7" s="97"/>
    </row>
    <row r="8" spans="1:86" ht="12.75" hidden="1">
      <c r="A8" s="125"/>
      <c r="B8" s="125"/>
      <c r="C8" s="125"/>
      <c r="D8" s="125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9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1"/>
      <c r="CC8" s="229"/>
      <c r="CD8" s="229"/>
      <c r="CE8" s="229"/>
      <c r="CF8" s="229"/>
      <c r="CG8" s="229"/>
      <c r="CH8" s="97"/>
    </row>
    <row r="9" spans="1:86" ht="12.75" hidden="1">
      <c r="A9" s="92">
        <v>1</v>
      </c>
      <c r="B9" s="92"/>
      <c r="C9" s="92"/>
      <c r="D9" s="92"/>
      <c r="E9" s="92">
        <v>2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137">
        <v>3</v>
      </c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9"/>
      <c r="CC9" s="13"/>
      <c r="CD9" s="13"/>
      <c r="CE9" s="13"/>
      <c r="CF9" s="13"/>
      <c r="CG9" s="13"/>
      <c r="CH9" s="13"/>
    </row>
    <row r="10" spans="1:86" ht="12.75" hidden="1">
      <c r="A10" s="110"/>
      <c r="B10" s="110"/>
      <c r="C10" s="110"/>
      <c r="D10" s="11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8"/>
      <c r="CC10" s="18"/>
      <c r="CD10" s="18"/>
      <c r="CE10" s="18"/>
      <c r="CF10" s="18"/>
      <c r="CG10" s="18"/>
      <c r="CH10" s="18"/>
    </row>
    <row r="11" spans="1:86" ht="12.75" hidden="1">
      <c r="A11" s="110"/>
      <c r="B11" s="110"/>
      <c r="C11" s="110"/>
      <c r="D11" s="11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06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8"/>
      <c r="CC11" s="18"/>
      <c r="CD11" s="18"/>
      <c r="CE11" s="18"/>
      <c r="CF11" s="18"/>
      <c r="CG11" s="18"/>
      <c r="CH11" s="18"/>
    </row>
    <row r="12" spans="1:86" ht="12.75" hidden="1">
      <c r="A12" s="86" t="s">
        <v>115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8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8"/>
      <c r="CC12" s="18"/>
      <c r="CD12" s="18"/>
      <c r="CE12" s="18"/>
      <c r="CF12" s="18"/>
      <c r="CG12" s="18"/>
      <c r="CH12" s="18"/>
    </row>
    <row r="13" s="1" customFormat="1" ht="15" hidden="1"/>
    <row r="14" spans="1:86" s="1" customFormat="1" ht="51.75" customHeight="1" hidden="1">
      <c r="A14" s="140" t="s">
        <v>137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</row>
    <row r="15" spans="1:86" s="1" customFormat="1" ht="15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6"/>
      <c r="CD15" s="6"/>
      <c r="CE15" s="6"/>
      <c r="CF15" s="6"/>
      <c r="CG15" s="6"/>
      <c r="CH15" s="6"/>
    </row>
    <row r="16" spans="1:86" s="1" customFormat="1" ht="15" hidden="1">
      <c r="A16" s="125" t="s">
        <v>39</v>
      </c>
      <c r="B16" s="125"/>
      <c r="C16" s="125"/>
      <c r="D16" s="125"/>
      <c r="E16" s="92" t="s">
        <v>4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3" t="s">
        <v>5</v>
      </c>
      <c r="AT16" s="94"/>
      <c r="AU16" s="94"/>
      <c r="AV16" s="94"/>
      <c r="AW16" s="94"/>
      <c r="AX16" s="94"/>
      <c r="AY16" s="94"/>
      <c r="AZ16" s="94"/>
      <c r="BA16" s="94"/>
      <c r="BB16" s="95"/>
      <c r="BC16" s="125" t="s">
        <v>64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93" t="s">
        <v>6</v>
      </c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231"/>
      <c r="CD16" s="231"/>
      <c r="CE16" s="231"/>
      <c r="CF16" s="231"/>
      <c r="CG16" s="231"/>
      <c r="CH16" s="231"/>
    </row>
    <row r="17" spans="1:86" s="1" customFormat="1" ht="84" customHeight="1" hidden="1">
      <c r="A17" s="125"/>
      <c r="B17" s="125"/>
      <c r="C17" s="125"/>
      <c r="D17" s="125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6"/>
      <c r="AT17" s="97"/>
      <c r="AU17" s="97"/>
      <c r="AV17" s="97"/>
      <c r="AW17" s="97"/>
      <c r="AX17" s="97"/>
      <c r="AY17" s="97"/>
      <c r="AZ17" s="97"/>
      <c r="BA17" s="97"/>
      <c r="BB17" s="98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96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8"/>
      <c r="CC17" s="97"/>
      <c r="CD17" s="97"/>
      <c r="CE17" s="97"/>
      <c r="CF17" s="97"/>
      <c r="CG17" s="97"/>
      <c r="CH17" s="97"/>
    </row>
    <row r="18" spans="1:86" s="1" customFormat="1" ht="15" hidden="1">
      <c r="A18" s="125"/>
      <c r="B18" s="125"/>
      <c r="C18" s="125"/>
      <c r="D18" s="125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6"/>
      <c r="AT18" s="97"/>
      <c r="AU18" s="97"/>
      <c r="AV18" s="97"/>
      <c r="AW18" s="97"/>
      <c r="AX18" s="97"/>
      <c r="AY18" s="97"/>
      <c r="AZ18" s="97"/>
      <c r="BA18" s="97"/>
      <c r="BB18" s="98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96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8"/>
      <c r="CC18" s="229"/>
      <c r="CD18" s="229"/>
      <c r="CE18" s="229"/>
      <c r="CF18" s="229"/>
      <c r="CG18" s="229"/>
      <c r="CH18" s="97"/>
    </row>
    <row r="19" spans="1:86" s="1" customFormat="1" ht="15" hidden="1">
      <c r="A19" s="125"/>
      <c r="B19" s="125"/>
      <c r="C19" s="125"/>
      <c r="D19" s="125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9"/>
      <c r="AT19" s="100"/>
      <c r="AU19" s="100"/>
      <c r="AV19" s="100"/>
      <c r="AW19" s="100"/>
      <c r="AX19" s="100"/>
      <c r="AY19" s="100"/>
      <c r="AZ19" s="100"/>
      <c r="BA19" s="100"/>
      <c r="BB19" s="101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99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  <c r="CC19" s="229"/>
      <c r="CD19" s="229"/>
      <c r="CE19" s="229"/>
      <c r="CF19" s="229"/>
      <c r="CG19" s="229"/>
      <c r="CH19" s="97"/>
    </row>
    <row r="20" spans="1:86" s="1" customFormat="1" ht="15" hidden="1">
      <c r="A20" s="92">
        <v>1</v>
      </c>
      <c r="B20" s="92"/>
      <c r="C20" s="92"/>
      <c r="D20" s="92"/>
      <c r="E20" s="92">
        <v>2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>
        <v>3</v>
      </c>
      <c r="AT20" s="92"/>
      <c r="AU20" s="92"/>
      <c r="AV20" s="92"/>
      <c r="AW20" s="92"/>
      <c r="AX20" s="92"/>
      <c r="AY20" s="92"/>
      <c r="AZ20" s="92"/>
      <c r="BA20" s="92"/>
      <c r="BB20" s="92"/>
      <c r="BC20" s="92">
        <v>4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 t="s">
        <v>58</v>
      </c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13"/>
      <c r="CD20" s="13"/>
      <c r="CE20" s="13"/>
      <c r="CF20" s="13"/>
      <c r="CG20" s="13"/>
      <c r="CH20" s="13"/>
    </row>
    <row r="21" spans="1:86" s="1" customFormat="1" ht="15" hidden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230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18"/>
      <c r="CD21" s="18"/>
      <c r="CE21" s="18"/>
      <c r="CF21" s="18"/>
      <c r="CG21" s="18"/>
      <c r="CH21" s="18"/>
    </row>
    <row r="22" spans="1:86" s="1" customFormat="1" ht="15" hidden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18"/>
      <c r="CD22" s="18"/>
      <c r="CE22" s="18"/>
      <c r="CF22" s="18"/>
      <c r="CG22" s="18"/>
      <c r="CH22" s="18"/>
    </row>
    <row r="23" spans="1:86" s="1" customFormat="1" ht="15" hidden="1">
      <c r="A23" s="86" t="s">
        <v>71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  <c r="AS23" s="120" t="s">
        <v>3</v>
      </c>
      <c r="AT23" s="120"/>
      <c r="AU23" s="120"/>
      <c r="AV23" s="120"/>
      <c r="AW23" s="120"/>
      <c r="AX23" s="120"/>
      <c r="AY23" s="120"/>
      <c r="AZ23" s="120"/>
      <c r="BA23" s="120"/>
      <c r="BB23" s="120"/>
      <c r="BC23" s="120" t="s">
        <v>3</v>
      </c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18"/>
      <c r="CD23" s="18"/>
      <c r="CE23" s="18"/>
      <c r="CF23" s="18"/>
      <c r="CG23" s="18"/>
      <c r="CH23" s="18"/>
    </row>
    <row r="24" s="1" customFormat="1" ht="15" hidden="1"/>
    <row r="25" s="1" customFormat="1" ht="15" hidden="1"/>
    <row r="26" s="1" customFormat="1" ht="15" hidden="1"/>
    <row r="27" s="1" customFormat="1" ht="15" hidden="1"/>
    <row r="28" s="1" customFormat="1" ht="15" hidden="1"/>
    <row r="29" s="1" customFormat="1" ht="15" hidden="1"/>
    <row r="30" spans="1:86" ht="15">
      <c r="A30" s="123" t="s">
        <v>138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</row>
    <row r="31" spans="1:8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6"/>
      <c r="CD31" s="6"/>
      <c r="CE31" s="6"/>
      <c r="CF31" s="6"/>
      <c r="CG31" s="6"/>
      <c r="CH31" s="6"/>
    </row>
    <row r="32" spans="1:86" ht="12.75">
      <c r="A32" s="125" t="s">
        <v>39</v>
      </c>
      <c r="B32" s="125"/>
      <c r="C32" s="125"/>
      <c r="D32" s="125"/>
      <c r="E32" s="92" t="s">
        <v>4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 t="s">
        <v>5</v>
      </c>
      <c r="AT32" s="92"/>
      <c r="AU32" s="92"/>
      <c r="AV32" s="92"/>
      <c r="AW32" s="92"/>
      <c r="AX32" s="92"/>
      <c r="AY32" s="92"/>
      <c r="AZ32" s="92"/>
      <c r="BA32" s="92"/>
      <c r="BB32" s="92"/>
      <c r="BC32" s="125" t="s">
        <v>64</v>
      </c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92" t="s">
        <v>6</v>
      </c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120" t="s">
        <v>66</v>
      </c>
      <c r="CD32" s="120"/>
      <c r="CE32" s="120"/>
      <c r="CF32" s="120"/>
      <c r="CG32" s="120"/>
      <c r="CH32" s="120"/>
    </row>
    <row r="33" spans="1:86" ht="79.5" customHeight="1">
      <c r="A33" s="125"/>
      <c r="B33" s="125"/>
      <c r="C33" s="125"/>
      <c r="D33" s="125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125" t="s">
        <v>36</v>
      </c>
      <c r="CD33" s="125"/>
      <c r="CE33" s="142" t="s">
        <v>46</v>
      </c>
      <c r="CF33" s="143"/>
      <c r="CG33" s="144"/>
      <c r="CH33" s="126" t="s">
        <v>47</v>
      </c>
    </row>
    <row r="34" spans="1:86" ht="12.75" customHeight="1">
      <c r="A34" s="125"/>
      <c r="B34" s="125"/>
      <c r="C34" s="125"/>
      <c r="D34" s="125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124" t="s">
        <v>44</v>
      </c>
      <c r="CD34" s="124" t="s">
        <v>45</v>
      </c>
      <c r="CE34" s="135" t="s">
        <v>83</v>
      </c>
      <c r="CF34" s="124" t="s">
        <v>44</v>
      </c>
      <c r="CG34" s="124" t="s">
        <v>45</v>
      </c>
      <c r="CH34" s="127"/>
    </row>
    <row r="35" spans="1:86" ht="12.75">
      <c r="A35" s="125"/>
      <c r="B35" s="125"/>
      <c r="C35" s="125"/>
      <c r="D35" s="125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124"/>
      <c r="CD35" s="124"/>
      <c r="CE35" s="136"/>
      <c r="CF35" s="124"/>
      <c r="CG35" s="124"/>
      <c r="CH35" s="128"/>
    </row>
    <row r="36" spans="1:86" ht="12.75">
      <c r="A36" s="92">
        <v>1</v>
      </c>
      <c r="B36" s="92"/>
      <c r="C36" s="92"/>
      <c r="D36" s="92"/>
      <c r="E36" s="92">
        <v>2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>
        <v>3</v>
      </c>
      <c r="AT36" s="92"/>
      <c r="AU36" s="92"/>
      <c r="AV36" s="92"/>
      <c r="AW36" s="92"/>
      <c r="AX36" s="92"/>
      <c r="AY36" s="92"/>
      <c r="AZ36" s="92"/>
      <c r="BA36" s="92"/>
      <c r="BB36" s="92"/>
      <c r="BC36" s="92">
        <v>4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 t="s">
        <v>58</v>
      </c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15">
        <v>6</v>
      </c>
      <c r="CD36" s="15">
        <v>7</v>
      </c>
      <c r="CE36" s="15">
        <v>8</v>
      </c>
      <c r="CF36" s="15">
        <v>9</v>
      </c>
      <c r="CG36" s="15">
        <v>10</v>
      </c>
      <c r="CH36" s="15">
        <v>11</v>
      </c>
    </row>
    <row r="37" spans="1:86" ht="12.75">
      <c r="A37" s="120">
        <v>1</v>
      </c>
      <c r="B37" s="120"/>
      <c r="C37" s="120"/>
      <c r="D37" s="120"/>
      <c r="E37" s="110" t="s">
        <v>200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20">
        <v>40</v>
      </c>
      <c r="AT37" s="120"/>
      <c r="AU37" s="120"/>
      <c r="AV37" s="120"/>
      <c r="AW37" s="120"/>
      <c r="AX37" s="120"/>
      <c r="AY37" s="120"/>
      <c r="AZ37" s="120"/>
      <c r="BA37" s="120"/>
      <c r="BB37" s="120"/>
      <c r="BC37" s="109">
        <f>BN37/AS37</f>
        <v>549.016</v>
      </c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>
        <f>CD37+CH37</f>
        <v>21960.64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7"/>
      <c r="CD37" s="15">
        <v>11976.64</v>
      </c>
      <c r="CE37" s="17"/>
      <c r="CF37" s="17"/>
      <c r="CG37" s="17"/>
      <c r="CH37" s="25">
        <v>9984</v>
      </c>
    </row>
    <row r="38" spans="1:86" ht="12.75">
      <c r="A38" s="161" t="s">
        <v>79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3"/>
      <c r="AS38" s="91" t="s">
        <v>3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 t="s">
        <v>3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157">
        <f>BN37</f>
        <v>21960.64</v>
      </c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28"/>
      <c r="CD38" s="23">
        <f>CD37</f>
        <v>11976.64</v>
      </c>
      <c r="CE38" s="28"/>
      <c r="CF38" s="28"/>
      <c r="CG38" s="28"/>
      <c r="CH38" s="23">
        <f>SUM(CH37)</f>
        <v>9984</v>
      </c>
    </row>
  </sheetData>
  <sheetProtection/>
  <mergeCells count="86">
    <mergeCell ref="A38:AR38"/>
    <mergeCell ref="AS38:BB38"/>
    <mergeCell ref="BC38:BM38"/>
    <mergeCell ref="BN38:CB38"/>
    <mergeCell ref="A16:D19"/>
    <mergeCell ref="E16:AR19"/>
    <mergeCell ref="AS16:BB19"/>
    <mergeCell ref="BC16:BM19"/>
    <mergeCell ref="BN16:CB19"/>
    <mergeCell ref="A20:D20"/>
    <mergeCell ref="A37:D37"/>
    <mergeCell ref="E37:AR37"/>
    <mergeCell ref="AS37:BB37"/>
    <mergeCell ref="BC37:BM37"/>
    <mergeCell ref="BN37:CB37"/>
    <mergeCell ref="CG34:CG35"/>
    <mergeCell ref="A36:D36"/>
    <mergeCell ref="E36:AR36"/>
    <mergeCell ref="AS36:BB36"/>
    <mergeCell ref="BC36:BM36"/>
    <mergeCell ref="BN36:CB36"/>
    <mergeCell ref="A32:D35"/>
    <mergeCell ref="E32:AR35"/>
    <mergeCell ref="AS32:BB35"/>
    <mergeCell ref="BC32:BM35"/>
    <mergeCell ref="BN32:CB35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A12:AN12"/>
    <mergeCell ref="A9:D9"/>
    <mergeCell ref="E9:AN9"/>
    <mergeCell ref="A10:D10"/>
    <mergeCell ref="E10:AN10"/>
    <mergeCell ref="A30:CH30"/>
    <mergeCell ref="A23:AR23"/>
    <mergeCell ref="AS23:BB23"/>
    <mergeCell ref="BC23:BM23"/>
    <mergeCell ref="BN23:CB23"/>
    <mergeCell ref="CC7:CC8"/>
    <mergeCell ref="CD7:CD8"/>
    <mergeCell ref="CE7:CE8"/>
    <mergeCell ref="CF7:CF8"/>
    <mergeCell ref="A11:D11"/>
    <mergeCell ref="E11:AN11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E20:AR20"/>
    <mergeCell ref="AS21:BB21"/>
    <mergeCell ref="BC21:BM21"/>
    <mergeCell ref="BN21:CB21"/>
    <mergeCell ref="AS20:BB20"/>
    <mergeCell ref="BC20:BM20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A22:D22"/>
    <mergeCell ref="E22:AR22"/>
    <mergeCell ref="AS22:BB22"/>
    <mergeCell ref="BC22:BM22"/>
    <mergeCell ref="BN22:CB22"/>
    <mergeCell ref="AO5:CB8"/>
    <mergeCell ref="AO9:CB9"/>
    <mergeCell ref="AO10:CB10"/>
    <mergeCell ref="AO11:CB11"/>
    <mergeCell ref="AO12:C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2020-04-15T13:00:39Z</cp:lastPrinted>
  <dcterms:created xsi:type="dcterms:W3CDTF">2004-09-19T06:34:55Z</dcterms:created>
  <dcterms:modified xsi:type="dcterms:W3CDTF">2020-04-15T13:46:35Z</dcterms:modified>
  <cp:category/>
  <cp:version/>
  <cp:contentType/>
  <cp:contentStatus/>
</cp:coreProperties>
</file>